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xr:revisionPtr revIDLastSave="263" documentId="11_562377F4095ABD03A1C28154116F71B696591AC1" xr6:coauthVersionLast="47" xr6:coauthVersionMax="47" xr10:uidLastSave="{41096B1A-BE5A-42A5-94EC-454BF3D7AD2A}"/>
  <bookViews>
    <workbookView xWindow="0" yWindow="0" windowWidth="0" windowHeight="0" activeTab="6" xr2:uid="{00000000-000D-0000-FFFF-FFFF00000000}"/>
  </bookViews>
  <sheets>
    <sheet name="Malzeme Fiyatları" sheetId="1" r:id="rId1"/>
    <sheet name="Market Rafı" sheetId="2" r:id="rId2"/>
    <sheet name="Sarf ve Ambalaj" sheetId="3" r:id="rId3"/>
    <sheet name="Tarifler ve Verim" sheetId="4" r:id="rId4"/>
    <sheet name="Ev Notları" sheetId="5" r:id="rId5"/>
    <sheet name="İş Notları" sheetId="6" r:id="rId6"/>
    <sheet name="Kışlık Karnesi"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7" i="7" l="1"/>
  <c r="L37" i="7"/>
  <c r="M37" i="7" a="1"/>
  <c r="M37" i="7"/>
  <c r="P37" i="7" a="1"/>
  <c r="P37" i="7"/>
  <c r="Q37" i="7" a="1"/>
  <c r="Q37" i="7"/>
  <c r="J37" i="7" s="1"/>
  <c r="R37" i="7" a="1"/>
  <c r="R37" i="7"/>
  <c r="S37" i="7" a="1"/>
  <c r="S37" i="7"/>
  <c r="K38" i="7"/>
  <c r="L38" i="7"/>
  <c r="M38" i="7" a="1"/>
  <c r="M38" i="7"/>
  <c r="P38" i="7" a="1"/>
  <c r="P38" i="7"/>
  <c r="Q38" i="7" a="1"/>
  <c r="Q38" i="7"/>
  <c r="J38" i="7" s="1"/>
  <c r="R38" i="7" a="1"/>
  <c r="R38" i="7"/>
  <c r="S38" i="7" a="1"/>
  <c r="S38" i="7"/>
  <c r="K39" i="7"/>
  <c r="L39" i="7"/>
  <c r="M39" i="7" a="1"/>
  <c r="M39" i="7"/>
  <c r="P39" i="7" a="1"/>
  <c r="P39" i="7"/>
  <c r="Q39" i="7" a="1"/>
  <c r="Q39" i="7"/>
  <c r="J39" i="7" s="1"/>
  <c r="R39" i="7" a="1"/>
  <c r="R39" i="7"/>
  <c r="S39" i="7" a="1"/>
  <c r="S39" i="7"/>
  <c r="K40" i="7"/>
  <c r="L40" i="7"/>
  <c r="M40" i="7" a="1"/>
  <c r="M40" i="7"/>
  <c r="P40" i="7" a="1"/>
  <c r="P40" i="7"/>
  <c r="Q40" i="7" a="1"/>
  <c r="Q40" i="7"/>
  <c r="J40" i="7" s="1"/>
  <c r="R40" i="7" a="1"/>
  <c r="R40" i="7"/>
  <c r="S40" i="7" a="1"/>
  <c r="S40" i="7"/>
  <c r="K41" i="7"/>
  <c r="L41" i="7"/>
  <c r="M41" i="7" a="1"/>
  <c r="M41" i="7"/>
  <c r="P41" i="7" a="1"/>
  <c r="P41" i="7"/>
  <c r="Q41" i="7" a="1"/>
  <c r="Q41" i="7"/>
  <c r="J41" i="7" s="1"/>
  <c r="R41" i="7" a="1"/>
  <c r="R41" i="7"/>
  <c r="S41" i="7" a="1"/>
  <c r="S41" i="7"/>
  <c r="K42" i="7"/>
  <c r="L42" i="7"/>
  <c r="M42" i="7" a="1"/>
  <c r="M42" i="7"/>
  <c r="P42" i="7" a="1"/>
  <c r="P42" i="7"/>
  <c r="Q42" i="7" a="1"/>
  <c r="Q42" i="7"/>
  <c r="J42" i="7" s="1"/>
  <c r="R42" i="7" a="1"/>
  <c r="R42" i="7"/>
  <c r="S42" i="7" a="1"/>
  <c r="S42" i="7"/>
  <c r="K43" i="7"/>
  <c r="L43" i="7"/>
  <c r="M43" i="7" a="1"/>
  <c r="M43" i="7"/>
  <c r="P43" i="7" a="1"/>
  <c r="P43" i="7"/>
  <c r="Q43" i="7" a="1"/>
  <c r="Q43" i="7"/>
  <c r="J43" i="7" s="1"/>
  <c r="R43" i="7" a="1"/>
  <c r="R43" i="7"/>
  <c r="S43" i="7" a="1"/>
  <c r="S43" i="7"/>
  <c r="K44" i="7"/>
  <c r="L44" i="7"/>
  <c r="M44" i="7" a="1"/>
  <c r="M44" i="7"/>
  <c r="P44" i="7" a="1"/>
  <c r="P44" i="7"/>
  <c r="Q44" i="7" a="1"/>
  <c r="Q44" i="7"/>
  <c r="J44" i="7" s="1"/>
  <c r="R44" i="7" a="1"/>
  <c r="R44" i="7"/>
  <c r="S44" i="7" a="1"/>
  <c r="S44" i="7"/>
  <c r="K45" i="7"/>
  <c r="L45" i="7"/>
  <c r="M45" i="7" a="1"/>
  <c r="M45" i="7"/>
  <c r="P45" i="7" a="1"/>
  <c r="P45" i="7"/>
  <c r="Q45" i="7" a="1"/>
  <c r="Q45" i="7"/>
  <c r="J45" i="7" s="1"/>
  <c r="R45" i="7" a="1"/>
  <c r="R45" i="7"/>
  <c r="S45" i="7" a="1"/>
  <c r="S45" i="7"/>
  <c r="K46" i="7"/>
  <c r="L46" i="7"/>
  <c r="M46" i="7" a="1"/>
  <c r="M46" i="7"/>
  <c r="P46" i="7" a="1"/>
  <c r="P46" i="7"/>
  <c r="Q46" i="7" a="1"/>
  <c r="Q46" i="7"/>
  <c r="J46" i="7" s="1"/>
  <c r="R46" i="7" a="1"/>
  <c r="R46" i="7"/>
  <c r="S46" i="7" a="1"/>
  <c r="S46" i="7"/>
  <c r="K47" i="7"/>
  <c r="L47" i="7"/>
  <c r="M47" i="7" a="1"/>
  <c r="M47" i="7"/>
  <c r="P47" i="7" a="1"/>
  <c r="P47" i="7"/>
  <c r="Q47" i="7" a="1"/>
  <c r="Q47" i="7"/>
  <c r="J47" i="7" s="1"/>
  <c r="R47" i="7" a="1"/>
  <c r="R47" i="7"/>
  <c r="S47" i="7" a="1"/>
  <c r="S47" i="7"/>
  <c r="K48" i="7"/>
  <c r="L48" i="7"/>
  <c r="M48" i="7" a="1"/>
  <c r="M48" i="7"/>
  <c r="P48" i="7" a="1"/>
  <c r="P48" i="7"/>
  <c r="Q48" i="7" a="1"/>
  <c r="Q48" i="7"/>
  <c r="J48" i="7" s="1"/>
  <c r="R48" i="7" a="1"/>
  <c r="R48" i="7"/>
  <c r="S48" i="7" a="1"/>
  <c r="S48" i="7"/>
  <c r="K49" i="7"/>
  <c r="L49" i="7"/>
  <c r="M49" i="7" a="1"/>
  <c r="M49" i="7"/>
  <c r="P49" i="7" a="1"/>
  <c r="P49" i="7"/>
  <c r="Q49" i="7" a="1"/>
  <c r="Q49" i="7"/>
  <c r="J49" i="7" s="1"/>
  <c r="R49" i="7" a="1"/>
  <c r="R49" i="7"/>
  <c r="S49" i="7" a="1"/>
  <c r="S49" i="7"/>
  <c r="K50" i="7"/>
  <c r="L50" i="7"/>
  <c r="M50" i="7" a="1"/>
  <c r="M50" i="7"/>
  <c r="P50" i="7" a="1"/>
  <c r="P50" i="7"/>
  <c r="Q50" i="7" a="1"/>
  <c r="Q50" i="7"/>
  <c r="J50" i="7" s="1"/>
  <c r="R50" i="7" a="1"/>
  <c r="R50" i="7"/>
  <c r="S50" i="7" a="1"/>
  <c r="S50" i="7"/>
  <c r="K51" i="7"/>
  <c r="L51" i="7"/>
  <c r="M51" i="7" a="1"/>
  <c r="M51" i="7"/>
  <c r="P51" i="7" a="1"/>
  <c r="P51" i="7"/>
  <c r="Q51" i="7" a="1"/>
  <c r="Q51" i="7"/>
  <c r="J51" i="7" s="1"/>
  <c r="R51" i="7" a="1"/>
  <c r="R51" i="7"/>
  <c r="S51" i="7" a="1"/>
  <c r="S51" i="7"/>
  <c r="K52" i="7"/>
  <c r="L52" i="7"/>
  <c r="M52" i="7" a="1"/>
  <c r="M52" i="7"/>
  <c r="P52" i="7" a="1"/>
  <c r="P52" i="7"/>
  <c r="Q52" i="7" a="1"/>
  <c r="Q52" i="7"/>
  <c r="J52" i="7" s="1"/>
  <c r="R52" i="7" a="1"/>
  <c r="R52" i="7"/>
  <c r="S52" i="7" a="1"/>
  <c r="S52" i="7"/>
  <c r="K53" i="7"/>
  <c r="L53" i="7"/>
  <c r="M53" i="7" a="1"/>
  <c r="M53" i="7"/>
  <c r="P53" i="7" a="1"/>
  <c r="P53" i="7"/>
  <c r="Q53" i="7" a="1"/>
  <c r="Q53" i="7"/>
  <c r="J53" i="7" s="1"/>
  <c r="R53" i="7" a="1"/>
  <c r="R53" i="7"/>
  <c r="S53" i="7" a="1"/>
  <c r="S53" i="7"/>
  <c r="K54" i="7"/>
  <c r="L54" i="7"/>
  <c r="M54" i="7" a="1"/>
  <c r="M54" i="7"/>
  <c r="P54" i="7" a="1"/>
  <c r="P54" i="7"/>
  <c r="Q54" i="7" a="1"/>
  <c r="Q54" i="7"/>
  <c r="J54" i="7" s="1"/>
  <c r="R54" i="7" a="1"/>
  <c r="R54" i="7"/>
  <c r="S54" i="7" a="1"/>
  <c r="S54" i="7"/>
  <c r="K55" i="7"/>
  <c r="L55" i="7"/>
  <c r="M55" i="7" a="1"/>
  <c r="M55" i="7"/>
  <c r="P55" i="7" a="1"/>
  <c r="P55" i="7"/>
  <c r="Q55" i="7" a="1"/>
  <c r="Q55" i="7"/>
  <c r="J55" i="7" s="1"/>
  <c r="R55" i="7" a="1"/>
  <c r="R55" i="7"/>
  <c r="S55" i="7" a="1"/>
  <c r="S55" i="7"/>
  <c r="K56" i="7"/>
  <c r="L56" i="7"/>
  <c r="M56" i="7" a="1"/>
  <c r="M56" i="7"/>
  <c r="P56" i="7" a="1"/>
  <c r="P56" i="7"/>
  <c r="Q56" i="7" a="1"/>
  <c r="Q56" i="7"/>
  <c r="J56" i="7" s="1"/>
  <c r="R56" i="7" a="1"/>
  <c r="R56" i="7"/>
  <c r="S56" i="7" a="1"/>
  <c r="S56" i="7"/>
  <c r="A32" i="7"/>
  <c r="B32" i="7"/>
  <c r="C32" i="7"/>
  <c r="D32" i="7"/>
  <c r="B19" i="7" a="1"/>
  <c r="B19" i="7"/>
  <c r="C19" i="7" a="1"/>
  <c r="C19" i="7"/>
  <c r="G19" i="7" a="1"/>
  <c r="G19" i="7"/>
  <c r="H19" i="7"/>
  <c r="D19" i="7" s="1" a="1"/>
  <c r="D19" i="7" s="1"/>
  <c r="J19" i="7"/>
  <c r="K19" i="7"/>
  <c r="P19" i="7" a="1"/>
  <c r="P19" i="7"/>
  <c r="Q19" i="7" a="1"/>
  <c r="Q19" i="7"/>
  <c r="E19" i="7" s="1"/>
  <c r="B20" i="7" a="1"/>
  <c r="B20" i="7"/>
  <c r="C20" i="7" a="1"/>
  <c r="C20" i="7"/>
  <c r="G20" i="7" a="1"/>
  <c r="G20" i="7"/>
  <c r="H20" i="7"/>
  <c r="D20" i="7" s="1" a="1"/>
  <c r="D20" i="7" s="1"/>
  <c r="J20" i="7"/>
  <c r="K20" i="7"/>
  <c r="P20" i="7" a="1"/>
  <c r="P20" i="7"/>
  <c r="Q20" i="7" a="1"/>
  <c r="Q20" i="7"/>
  <c r="E20" i="7" s="1"/>
  <c r="B21" i="7" a="1"/>
  <c r="B21" i="7"/>
  <c r="C21" i="7" a="1"/>
  <c r="C21" i="7"/>
  <c r="G21" i="7" a="1"/>
  <c r="G21" i="7"/>
  <c r="H21" i="7"/>
  <c r="D21" i="7" s="1" a="1"/>
  <c r="D21" i="7" s="1"/>
  <c r="J21" i="7"/>
  <c r="K21" i="7"/>
  <c r="P21" i="7" a="1"/>
  <c r="P21" i="7"/>
  <c r="Q21" i="7" a="1"/>
  <c r="Q21" i="7"/>
  <c r="E21" i="7" s="1"/>
  <c r="B22" i="7" a="1"/>
  <c r="B22" i="7"/>
  <c r="C22" i="7" a="1"/>
  <c r="C22" i="7"/>
  <c r="G22" i="7" a="1"/>
  <c r="G22" i="7"/>
  <c r="H22" i="7"/>
  <c r="D22" i="7" s="1" a="1"/>
  <c r="D22" i="7" s="1"/>
  <c r="J22" i="7"/>
  <c r="K22" i="7"/>
  <c r="P22" i="7" a="1"/>
  <c r="P22" i="7"/>
  <c r="Q22" i="7" a="1"/>
  <c r="Q22" i="7"/>
  <c r="E22" i="7" s="1"/>
  <c r="B23" i="7" a="1"/>
  <c r="B23" i="7"/>
  <c r="C23" i="7" a="1"/>
  <c r="C23" i="7"/>
  <c r="D23" i="7" a="1"/>
  <c r="D23" i="7"/>
  <c r="G23" i="7" a="1"/>
  <c r="G23" i="7"/>
  <c r="H23" i="7"/>
  <c r="J23" i="7"/>
  <c r="K23" i="7"/>
  <c r="P23" i="7" a="1"/>
  <c r="P23" i="7"/>
  <c r="Q23" i="7" a="1"/>
  <c r="Q23" i="7"/>
  <c r="E23" i="7" s="1"/>
  <c r="F23" i="7" s="1"/>
  <c r="I23" i="7" s="1"/>
  <c r="G6" i="7"/>
  <c r="G7" i="7"/>
  <c r="G8" i="7"/>
  <c r="G9" i="7"/>
  <c r="G10" i="7"/>
  <c r="G11" i="7"/>
  <c r="D6" i="7"/>
  <c r="D7" i="7"/>
  <c r="D8" i="7"/>
  <c r="D9" i="7"/>
  <c r="D10" i="7"/>
  <c r="D11" i="7"/>
  <c r="C7" i="7"/>
  <c r="C8" i="7"/>
  <c r="C9" i="7"/>
  <c r="C10" i="7"/>
  <c r="C11" i="7"/>
  <c r="B6" i="7"/>
  <c r="B7" i="7"/>
  <c r="B8" i="7"/>
  <c r="B9" i="7"/>
  <c r="B10" i="7"/>
  <c r="B11" i="7"/>
  <c r="N56" i="7" l="1" a="1"/>
  <c r="N56" i="7" s="1"/>
  <c r="O56" i="7" a="1"/>
  <c r="O56" i="7" s="1"/>
  <c r="C56" i="7"/>
  <c r="F56" i="7"/>
  <c r="N55" i="7" a="1"/>
  <c r="N55" i="7" s="1"/>
  <c r="O55" i="7" a="1"/>
  <c r="O55" i="7" s="1"/>
  <c r="C55" i="7"/>
  <c r="F55" i="7"/>
  <c r="N54" i="7" a="1"/>
  <c r="N54" i="7" s="1"/>
  <c r="O54" i="7" a="1"/>
  <c r="O54" i="7" s="1"/>
  <c r="C54" i="7"/>
  <c r="F54" i="7"/>
  <c r="N53" i="7" a="1"/>
  <c r="N53" i="7" s="1"/>
  <c r="O53" i="7" a="1"/>
  <c r="O53" i="7" s="1"/>
  <c r="C53" i="7"/>
  <c r="F53" i="7"/>
  <c r="N52" i="7" a="1"/>
  <c r="N52" i="7" s="1"/>
  <c r="O52" i="7" a="1"/>
  <c r="O52" i="7" s="1"/>
  <c r="C52" i="7"/>
  <c r="F52" i="7"/>
  <c r="N51" i="7" a="1"/>
  <c r="N51" i="7" s="1"/>
  <c r="O51" i="7" a="1"/>
  <c r="O51" i="7" s="1"/>
  <c r="C51" i="7"/>
  <c r="F51" i="7"/>
  <c r="N50" i="7" a="1"/>
  <c r="N50" i="7" s="1"/>
  <c r="O50" i="7" a="1"/>
  <c r="O50" i="7" s="1"/>
  <c r="C50" i="7"/>
  <c r="F50" i="7"/>
  <c r="N49" i="7" a="1"/>
  <c r="N49" i="7" s="1"/>
  <c r="O49" i="7" a="1"/>
  <c r="O49" i="7" s="1"/>
  <c r="C49" i="7"/>
  <c r="F49" i="7"/>
  <c r="N48" i="7" a="1"/>
  <c r="N48" i="7" s="1"/>
  <c r="O48" i="7" a="1"/>
  <c r="O48" i="7" s="1"/>
  <c r="C48" i="7"/>
  <c r="F48" i="7"/>
  <c r="N47" i="7" a="1"/>
  <c r="N47" i="7" s="1"/>
  <c r="O47" i="7" a="1"/>
  <c r="O47" i="7" s="1"/>
  <c r="C47" i="7"/>
  <c r="F47" i="7"/>
  <c r="N46" i="7" a="1"/>
  <c r="N46" i="7" s="1"/>
  <c r="O46" i="7" a="1"/>
  <c r="O46" i="7" s="1"/>
  <c r="C46" i="7"/>
  <c r="F46" i="7"/>
  <c r="N45" i="7" a="1"/>
  <c r="N45" i="7" s="1"/>
  <c r="O45" i="7" a="1"/>
  <c r="O45" i="7" s="1"/>
  <c r="C45" i="7"/>
  <c r="F45" i="7"/>
  <c r="N44" i="7" a="1"/>
  <c r="N44" i="7" s="1"/>
  <c r="O44" i="7" a="1"/>
  <c r="O44" i="7" s="1"/>
  <c r="C44" i="7"/>
  <c r="F44" i="7"/>
  <c r="N43" i="7" a="1"/>
  <c r="N43" i="7" s="1"/>
  <c r="O43" i="7" a="1"/>
  <c r="O43" i="7" s="1"/>
  <c r="C43" i="7"/>
  <c r="F43" i="7"/>
  <c r="N42" i="7" a="1"/>
  <c r="N42" i="7" s="1"/>
  <c r="O42" i="7" a="1"/>
  <c r="O42" i="7" s="1"/>
  <c r="C42" i="7"/>
  <c r="F42" i="7"/>
  <c r="N41" i="7" a="1"/>
  <c r="N41" i="7" s="1"/>
  <c r="O41" i="7" a="1"/>
  <c r="O41" i="7" s="1"/>
  <c r="C41" i="7"/>
  <c r="F41" i="7"/>
  <c r="N40" i="7" a="1"/>
  <c r="N40" i="7" s="1"/>
  <c r="O40" i="7" a="1"/>
  <c r="O40" i="7" s="1"/>
  <c r="C40" i="7"/>
  <c r="F40" i="7"/>
  <c r="N39" i="7" a="1"/>
  <c r="N39" i="7" s="1"/>
  <c r="O39" i="7" a="1"/>
  <c r="O39" i="7" s="1"/>
  <c r="C39" i="7"/>
  <c r="F39" i="7"/>
  <c r="N38" i="7" a="1"/>
  <c r="N38" i="7" s="1"/>
  <c r="O38" i="7" a="1"/>
  <c r="O38" i="7" s="1"/>
  <c r="C38" i="7"/>
  <c r="F38" i="7"/>
  <c r="N37" i="7" a="1"/>
  <c r="N37" i="7" s="1"/>
  <c r="O37" i="7" a="1"/>
  <c r="O37" i="7" s="1"/>
  <c r="C37" i="7"/>
  <c r="F37" i="7"/>
  <c r="L23" i="7"/>
  <c r="N23" i="7"/>
  <c r="F22" i="7"/>
  <c r="I22" i="7" s="1"/>
  <c r="F21" i="7"/>
  <c r="I21" i="7" s="1"/>
  <c r="F20" i="7"/>
  <c r="I20" i="7" s="1"/>
  <c r="F19" i="7"/>
  <c r="I19" i="7" s="1"/>
  <c r="G37" i="7" l="1"/>
  <c r="H37" i="7"/>
  <c r="D37" i="7"/>
  <c r="E37" i="7"/>
  <c r="I37" i="7"/>
  <c r="G38" i="7"/>
  <c r="H38" i="7"/>
  <c r="D38" i="7"/>
  <c r="E38" i="7"/>
  <c r="I38" i="7"/>
  <c r="G39" i="7"/>
  <c r="H39" i="7"/>
  <c r="D39" i="7"/>
  <c r="E39" i="7"/>
  <c r="I39" i="7"/>
  <c r="G40" i="7"/>
  <c r="H40" i="7"/>
  <c r="D40" i="7"/>
  <c r="E40" i="7"/>
  <c r="I40" i="7"/>
  <c r="G41" i="7"/>
  <c r="H41" i="7"/>
  <c r="D41" i="7"/>
  <c r="E41" i="7"/>
  <c r="I41" i="7"/>
  <c r="G42" i="7"/>
  <c r="H42" i="7"/>
  <c r="D42" i="7"/>
  <c r="E42" i="7"/>
  <c r="I42" i="7"/>
  <c r="G43" i="7"/>
  <c r="H43" i="7"/>
  <c r="D43" i="7"/>
  <c r="E43" i="7"/>
  <c r="I43" i="7"/>
  <c r="G44" i="7"/>
  <c r="H44" i="7"/>
  <c r="D44" i="7"/>
  <c r="E44" i="7"/>
  <c r="I44" i="7"/>
  <c r="G45" i="7"/>
  <c r="H45" i="7"/>
  <c r="D45" i="7"/>
  <c r="E45" i="7"/>
  <c r="I45" i="7"/>
  <c r="G46" i="7"/>
  <c r="H46" i="7"/>
  <c r="D46" i="7"/>
  <c r="E46" i="7"/>
  <c r="I46" i="7"/>
  <c r="G47" i="7"/>
  <c r="H47" i="7"/>
  <c r="D47" i="7"/>
  <c r="E47" i="7"/>
  <c r="I47" i="7"/>
  <c r="G48" i="7"/>
  <c r="H48" i="7"/>
  <c r="D48" i="7"/>
  <c r="E48" i="7"/>
  <c r="I48" i="7"/>
  <c r="G49" i="7"/>
  <c r="H49" i="7"/>
  <c r="D49" i="7"/>
  <c r="E49" i="7"/>
  <c r="I49" i="7"/>
  <c r="G50" i="7"/>
  <c r="H50" i="7"/>
  <c r="D50" i="7"/>
  <c r="E50" i="7"/>
  <c r="I50" i="7"/>
  <c r="G51" i="7"/>
  <c r="H51" i="7"/>
  <c r="D51" i="7"/>
  <c r="E51" i="7"/>
  <c r="I51" i="7"/>
  <c r="G52" i="7"/>
  <c r="H52" i="7"/>
  <c r="D52" i="7"/>
  <c r="E52" i="7"/>
  <c r="I52" i="7"/>
  <c r="G53" i="7"/>
  <c r="H53" i="7"/>
  <c r="D53" i="7"/>
  <c r="E53" i="7"/>
  <c r="I53" i="7"/>
  <c r="G54" i="7"/>
  <c r="H54" i="7"/>
  <c r="D54" i="7"/>
  <c r="E54" i="7"/>
  <c r="I54" i="7"/>
  <c r="G55" i="7"/>
  <c r="H55" i="7"/>
  <c r="D55" i="7"/>
  <c r="E55" i="7"/>
  <c r="I55" i="7"/>
  <c r="G56" i="7"/>
  <c r="H56" i="7"/>
  <c r="D56" i="7"/>
  <c r="E56" i="7"/>
  <c r="I56" i="7"/>
  <c r="L19" i="7"/>
  <c r="N19" i="7"/>
  <c r="L20" i="7"/>
  <c r="N20" i="7"/>
  <c r="L21" i="7"/>
  <c r="N21" i="7"/>
  <c r="L22" i="7"/>
  <c r="N22" i="7"/>
  <c r="O23" i="7"/>
  <c r="S23" i="7"/>
  <c r="M23" i="7"/>
  <c r="R23" i="7"/>
  <c r="O22" i="7" l="1"/>
  <c r="S22" i="7"/>
  <c r="M22" i="7"/>
  <c r="R22" i="7"/>
  <c r="O21" i="7"/>
  <c r="S21" i="7"/>
  <c r="M21" i="7"/>
  <c r="R21" i="7"/>
  <c r="O20" i="7"/>
  <c r="S20" i="7"/>
  <c r="M20" i="7"/>
  <c r="R20" i="7"/>
  <c r="O19" i="7"/>
  <c r="S19" i="7"/>
  <c r="M19" i="7"/>
  <c r="R19"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<sst xmlns="http://schemas.openxmlformats.org/spreadsheetml/2006/main" count="508" uniqueCount="241">
  <si>
    <t>Taze malzeme: dört fiyat senaryosu</t>
  </si>
  <si>
    <t>Aynı malzemeyi nereden aldığınıza göre dört fiyat var. Ev Notları'ndaki Fiyat kaynağı hücresi hangisinin kullanılacağını seçer. Kasa ve perakende fiyatları, hal ortalaması ile market arasında katsayıyla belirlendi (kasa 0.40, perakende 0.75); ev yapımını olduğundan ucuz göstermemek için market tarafına yakın tutuldu. Hal: İBB Avrupa Yakası Hal Müdürlüğü, günlük toptan fiyat listesi, 28.07.2026. Market: Migros eve teslim, raf fiyatı, 29.07.2026. Pazar: Semt pazarı, yerinde gözlem ve katsayı, 29.07.2026.</t>
  </si>
  <si>
    <t>Malzeme</t>
  </si>
  <si>
    <t>Reçetedeki rolü</t>
  </si>
  <si>
    <t>Birim</t>
  </si>
  <si>
    <t>Hal ortalaması (TL)</t>
  </si>
  <si>
    <t>Pazar kasa (TL)</t>
  </si>
  <si>
    <t>Pazar perakende (TL)</t>
  </si>
  <si>
    <t>Market (TL)</t>
  </si>
  <si>
    <t>Hal en düşük (TL)</t>
  </si>
  <si>
    <t>Hal en yüksek (TL)</t>
  </si>
  <si>
    <t>Market ürünü</t>
  </si>
  <si>
    <t>Erişim tarihi</t>
  </si>
  <si>
    <t>Salçalık domates</t>
  </si>
  <si>
    <t>Domates salçasının hammaddesi</t>
  </si>
  <si>
    <t>kg</t>
  </si>
  <si>
    <t>Domates Tarla Rio (Salçalık) Kg</t>
  </si>
  <si>
    <t>29.07.2026</t>
  </si>
  <si>
    <t>Domates</t>
  </si>
  <si>
    <t>Tarhananın hammaddesi</t>
  </si>
  <si>
    <t>Domates Kg</t>
  </si>
  <si>
    <t>Salçalık kırmızı biber</t>
  </si>
  <si>
    <t>Biber salçası ve tarhana</t>
  </si>
  <si>
    <t>Közlemelik - Salçalık Biber Kırmızı Kg</t>
  </si>
  <si>
    <t>Çarliston biber</t>
  </si>
  <si>
    <t>Turşuluk sivri biber</t>
  </si>
  <si>
    <t>Biber Çarliston Kg</t>
  </si>
  <si>
    <t>Salatalık</t>
  </si>
  <si>
    <t>Turşunun hammaddesi</t>
  </si>
  <si>
    <t>Hıyar Kg</t>
  </si>
  <si>
    <t>Havuç</t>
  </si>
  <si>
    <t>Turşuluk havuç</t>
  </si>
  <si>
    <t>Havuç Beypazarı Paket Kg</t>
  </si>
  <si>
    <t>Lahana</t>
  </si>
  <si>
    <t>Turşuluk lahana</t>
  </si>
  <si>
    <t>Lahana Beyaz Kg</t>
  </si>
  <si>
    <t>Sarımsak</t>
  </si>
  <si>
    <t>Turşu sarımsağı</t>
  </si>
  <si>
    <t>Sarımsak File Kg</t>
  </si>
  <si>
    <t>Dereotu</t>
  </si>
  <si>
    <t>Turşu otu</t>
  </si>
  <si>
    <t>demet</t>
  </si>
  <si>
    <t>Dereotu Adet</t>
  </si>
  <si>
    <t>Kuru soğan</t>
  </si>
  <si>
    <t>Tarhanalık soğan</t>
  </si>
  <si>
    <t>Soğan Kuru (Yeni Mahsul) Kg</t>
  </si>
  <si>
    <t>Nane</t>
  </si>
  <si>
    <t>Tarhanalık nane</t>
  </si>
  <si>
    <t>Nane Adet</t>
  </si>
  <si>
    <t>Maydanoz</t>
  </si>
  <si>
    <t>Tarhanalık maydanoz</t>
  </si>
  <si>
    <t>Maydanoz Adet</t>
  </si>
  <si>
    <t>Kayısı</t>
  </si>
  <si>
    <t>Reçelin hammaddesi</t>
  </si>
  <si>
    <t>Kayısı Kg</t>
  </si>
  <si>
    <t>Hazır ürün raf fiyatları</t>
  </si>
  <si>
    <t>Migros eve teslim, raf fiyatı · 29.07.2026 · https://www.migros.com.tr/. fiyat mağazaya, kampanyaya ve güne göre değişir. Kart indirimleri hesaba katılmamıştır.</t>
  </si>
  <si>
    <t>Ürün grubu</t>
  </si>
  <si>
    <t>Raf ürünü</t>
  </si>
  <si>
    <t>Gramaj (kg)</t>
  </si>
  <si>
    <t>Raf fiyatı (TL)</t>
  </si>
  <si>
    <t>Kilo fiyatı (TL)</t>
  </si>
  <si>
    <t>Kaynak</t>
  </si>
  <si>
    <t>Domates salçası</t>
  </si>
  <si>
    <t>Migros Domates Salçası 830 G</t>
  </si>
  <si>
    <t>Migros eve teslim, raf fiyatı</t>
  </si>
  <si>
    <t>Tat Domates Salçası 360 G</t>
  </si>
  <si>
    <t>Biber salçası</t>
  </si>
  <si>
    <t>Migros Tatlı Biber Salçası 700 G</t>
  </si>
  <si>
    <t>Tat Köy Tatlı Biber Salçası 550 G</t>
  </si>
  <si>
    <t>Karışık turşu</t>
  </si>
  <si>
    <t>Migros Salatalık Turşusu 670 G</t>
  </si>
  <si>
    <t>Berrak Karışık Turşu 680 G</t>
  </si>
  <si>
    <t>Kayısı reçeli</t>
  </si>
  <si>
    <t>Migros Kayısı Reçeli 380 G</t>
  </si>
  <si>
    <t>Tat Geleneksel Kayısı Reçeli 380 G</t>
  </si>
  <si>
    <t>Tarhana</t>
  </si>
  <si>
    <t>Zaika Tarhana 500 G</t>
  </si>
  <si>
    <t>Trakya Ev Tarhanası 250 G</t>
  </si>
  <si>
    <t>Sarf malzeme ve ambalaj</t>
  </si>
  <si>
    <t>Tuz, sirke ve kavanoz fiyatları yerinde gözlemle alındı. Kavanoz ve kapak maliyeti yalnız kavanozda saklanan ürünlere eklenir.</t>
  </si>
  <si>
    <t>Kalem</t>
  </si>
  <si>
    <t>Kaynak ürün</t>
  </si>
  <si>
    <t>Miktar</t>
  </si>
  <si>
    <t>Fiyat (TL)</t>
  </si>
  <si>
    <t>Birim fiyat (TL)</t>
  </si>
  <si>
    <t>Kaya tuzu</t>
  </si>
  <si>
    <t>Pazarda dökme kaya tuzu</t>
  </si>
  <si>
    <t>Üzüm sirkesi</t>
  </si>
  <si>
    <t>Pazarda dökme üzüm sirkesi</t>
  </si>
  <si>
    <t>litre</t>
  </si>
  <si>
    <t>Toz şeker</t>
  </si>
  <si>
    <t>Migros Toz Şeker 5 Kg</t>
  </si>
  <si>
    <t>Un</t>
  </si>
  <si>
    <t>Migros Un 2 Kg</t>
  </si>
  <si>
    <t>Yoğurt</t>
  </si>
  <si>
    <t>Migros Tam Yağlı Kaymaklı Yoğurt 1 Kg</t>
  </si>
  <si>
    <t>Cam kavanoz 660 cc, kapaklı</t>
  </si>
  <si>
    <t>Yerinde gözlem</t>
  </si>
  <si>
    <t>adet</t>
  </si>
  <si>
    <t>Cam kavanoz 1000 cc, kapaklı</t>
  </si>
  <si>
    <t>Kavanoz kapağı, 10'lu paket</t>
  </si>
  <si>
    <t>Tarifler, verim ve mutfak süresi</t>
  </si>
  <si>
    <t>Oranlar yaygın ev tariflerinden alınmış varsayımdır; laboratuvar ölçümü değildir. Mutfak süresi bir gider kalemi DEĞİLDİR: ailenin birlikte geçirdiği zamandır ve maliyet hesabına katılmaz.</t>
  </si>
  <si>
    <t>Ürün</t>
  </si>
  <si>
    <t>Parti</t>
  </si>
  <si>
    <t>Ambalaj</t>
  </si>
  <si>
    <t>Girdi</t>
  </si>
  <si>
    <t>Net çıktı (kg)</t>
  </si>
  <si>
    <t>Ocak (saat)</t>
  </si>
  <si>
    <t>Mutfak süresi (saat)</t>
  </si>
  <si>
    <t>Neden yapılıyor</t>
  </si>
  <si>
    <t>Not</t>
  </si>
  <si>
    <t>10 kg salçalık domatesten bir parti</t>
  </si>
  <si>
    <t>Kavanoz</t>
  </si>
  <si>
    <t>Ağustos domatesinin tadını ocak ayındaki domatesli pilava taşımak.</t>
  </si>
  <si>
    <t>Suyu çekilince yaklaşık sekizde bir oranında salça kalır; sap ve kabuk firesi bu orana dâhildir.</t>
  </si>
  <si>
    <t>10 kg salçalık kırmızı biberden bir parti</t>
  </si>
  <si>
    <t>Zeytinyağlıların ve kış yemeklerinin altındaki o tatlı biber tadı.</t>
  </si>
  <si>
    <t>Sap ve çekirdek ayıklaması domatesten uzun sürer; su oranı düşük olduğu için verim yüksektir.</t>
  </si>
  <si>
    <t>10 kavanoz · 4,5 kg sebze ve 2,5 litre salamura</t>
  </si>
  <si>
    <t>Kış sofrasında kuru fasulyenin yanına konan kavanoz.</t>
  </si>
  <si>
    <t>Kavanoz başına yaklaşık 450 g sebze ve 250 ml salamura. Sirke salamuranın dörtte biri; gerisi su. Dolum ağırlığı salamura dâhil hesaplanır.</t>
  </si>
  <si>
    <t>4 kg kayısıdan bir parti</t>
  </si>
  <si>
    <t>Kış sabahlarında kahvaltıya inen yaz meyvesi.</t>
  </si>
  <si>
    <t>Çekirdek firesi ve kaynatma kaybı net çıktıya dâhildir. Limon suyu gibi çok küçük kalemler hesaba katılmamıştır.</t>
  </si>
  <si>
    <t>Bir mevsimlik ev partisi</t>
  </si>
  <si>
    <t>Bez torba</t>
  </si>
  <si>
    <t>Hasta olunan günün çorbası; tarifi anneanneden geliyor.</t>
  </si>
  <si>
    <t>Çıkan kuru tarhananın büyük bölümü undur. Süreye mayalanma boyunca günlük yoğurma, kurutma ve ovalama dâhildir. Tarhana kavanozda değil bez torbada saklanır.</t>
  </si>
  <si>
    <t>Varsayım hücreleri</t>
  </si>
  <si>
    <t>Bu hücreleri değiştirdiğinizde bütün model yeniden hesaplanmalıdır.</t>
  </si>
  <si>
    <t>Varsayım</t>
  </si>
  <si>
    <t>Değer</t>
  </si>
  <si>
    <t>Açıklama</t>
  </si>
  <si>
    <t>Fiyat kaynağı</t>
  </si>
  <si>
    <t>Pazar perakende</t>
  </si>
  <si>
    <t>Hal ortalaması / Pazar kasa / Pazar perakende / Market</t>
  </si>
  <si>
    <t>Malzeme Fiyatları sayfasındaki hangi fiyat sütununun kullanılacağını seçer. Değiştirdiğinizde bütün karne yeniden hesaplanır.</t>
  </si>
  <si>
    <t>Kavanoz dolum ağırlığı</t>
  </si>
  <si>
    <t>660 cc kavanozun dolum ağırlığı. Ev yapımı ile hazır ürünün karşılaştırıldığı ortak birim.</t>
  </si>
  <si>
    <t>Kavanoz birim fiyatı</t>
  </si>
  <si>
    <t>TL/adet</t>
  </si>
  <si>
    <t>660 cc kapaklı kavanoz. Dolapta biriken kavanozu kullanıyorsanız sıfır yazın.</t>
  </si>
  <si>
    <t>Kapak birim fiyatı</t>
  </si>
  <si>
    <t>Kavanoz saklansa bile kapak yenilenir. On'lu paketin adet fiyatı.</t>
  </si>
  <si>
    <t>Ocak gücü</t>
  </si>
  <si>
    <t>kW</t>
  </si>
  <si>
    <t>Enerji maliyeti saat × güç × birim fiyat olarak hesaplanır.</t>
  </si>
  <si>
    <t>Enerji birim fiyatı</t>
  </si>
  <si>
    <t>TL/kWh</t>
  </si>
  <si>
    <t>Kendi faturanızdaki birim fiyatı yazın. Tüple pişiriyorsanız 12 kg tüp yaklaşık 155 kWh eder.</t>
  </si>
  <si>
    <t>Soru, yöntem ve sınırlar</t>
  </si>
  <si>
    <t>Modeli kurmadan önce okunacak notlar.</t>
  </si>
  <si>
    <t>Başlık</t>
  </si>
  <si>
    <t>Soru</t>
  </si>
  <si>
    <t>Evde kışlık hazırlamak hazır almaktan ucuz mu? Ucuzsa hangi üründe, ne kadar?</t>
  </si>
  <si>
    <t>Ortak birim</t>
  </si>
  <si>
    <t>Kavanoz başına maliyet. Toplam maliyeti, çıkan net ürünün kavanoz sayısına bölün.</t>
  </si>
  <si>
    <t>Maliyet kalemleri</t>
  </si>
  <si>
    <t>Yalnız üç kalem: hammadde, sarf ve ambalaj, enerji.</t>
  </si>
  <si>
    <t>Emek maliyeti yok</t>
  </si>
  <si>
    <t>Mutfakta geçen süre maliyet olarak yazılmaz. Bu işi yapan aileler zaten tasarruf için değil; lezzet, keyif ve birlikte geçirilen zaman için yapıyor.</t>
  </si>
  <si>
    <t>Karşılaştırma</t>
  </si>
  <si>
    <t>Market Rafı sayfasındaki hazır ürünü aynı dolum ağırlığına getirin; en ucuz ve en pahalı raf seçeneğini birlikte gösterin.</t>
  </si>
  <si>
    <t>Canlı formül</t>
  </si>
  <si>
    <t>Bütün hesap Excel formülü olsun. Statik değer veya Python kullanılmaz.</t>
  </si>
  <si>
    <t>Uydurma yok</t>
  </si>
  <si>
    <t>Bu sayfalarda olmayan fiyat, oran veya verim üretilmez. Eksikse eksik yazılır.</t>
  </si>
  <si>
    <t>Kavanoz ve kapak maliyeti yalnız kavanozda saklanan ürünlere eklenir. Tarhana bez torbada saklanır; kavanoz maliyeti almaz.</t>
  </si>
  <si>
    <t>Dört senaryo var: hal ortalaması (toptan), pazarda kasa alımı, pazarda perakende ve markete sipariş. Varsayılan pazar perakendedir.</t>
  </si>
  <si>
    <t>Ürün eşdeğerliği</t>
  </si>
  <si>
    <t>Ev yapımı ile sanayi ürünü aynı şey değildir. Bu tablo yalnız parayı karşılaştırır; tat, içerik ve kıvam karşılaştırmaz.</t>
  </si>
  <si>
    <t>Turşu ölçüsü</t>
  </si>
  <si>
    <t>Karşılaştırma brüt dolum ağırlığı üzerindendir; hazır ürünün süzme ağırlığı farklı olabilir.</t>
  </si>
  <si>
    <t>Ölçek</t>
  </si>
  <si>
    <t>Enerji parti başına sabittir. Daha büyük parti kavanoz başına maliyeti düşürür; model bu etkiyi ayrıca modellemez.</t>
  </si>
  <si>
    <t>Reçel neden kayısı</t>
  </si>
  <si>
    <t>Fiyatların alındığı gün markette taze vişne yoktu; sezon geçmişti. Reçel kalemi kayısı üzerinden kuruldu.</t>
  </si>
  <si>
    <t>Sınır</t>
  </si>
  <si>
    <t>Bu bir gıda güvenliği, sterilizasyon veya saklama rehberi değildir.</t>
  </si>
  <si>
    <t>Fiyatlar tek şehir ve tek tarihe aittir; verim, süre ve enerji oranları varsayımdır.</t>
  </si>
  <si>
    <t>İnsanî not</t>
  </si>
  <si>
    <t>Bu tablo maliyeti ölçer, günü ölçmez. Yazın domatesinin tadını kışın pilavda bulmak, zeytinyağlının altındaki biber salçası, kar yağarken içilen tarhana çorbası ve bunları birlikte hazırlayan bir mutfak bu sayfalarda yer almaz.</t>
  </si>
  <si>
    <t>Kışlık Karnesi</t>
  </si>
  <si>
    <t>Ev yapımı kışlıkların kavanoz başına maliyetini hazır raf muadilleriyle karşılaştırır. Emek maliyeti eklenmez.</t>
  </si>
  <si>
    <t>Varsayımlar</t>
  </si>
  <si>
    <t>Birim / seçenek</t>
  </si>
  <si>
    <t>Bağlantı hücreleri</t>
  </si>
  <si>
    <t>Kavanoz kg</t>
  </si>
  <si>
    <t>Kavanoz TL</t>
  </si>
  <si>
    <t>Kapak TL</t>
  </si>
  <si>
    <t>Ocak kW</t>
  </si>
  <si>
    <t>Enerji TL/kWh</t>
  </si>
  <si>
    <t>Yöntem notları</t>
  </si>
  <si>
    <t>Maliyet üç kalemde izlenir: hammadde, sarf ve ambalaj, enerji. Mutfak süresi yalnız bilgi sütunudur, maliyete çevrilmez. Tarifler ve Verim sayfasındaki oranlar ve verimler ölçüm değil, ev tarifi varsayımıdır. Sayfalarda olmayan fiyat, oran veya verim üretilmez.</t>
  </si>
  <si>
    <t>Ürün bazında karne</t>
  </si>
  <si>
    <t>Hammadde maliyeti</t>
  </si>
  <si>
    <t>Sarf ve ambalaj maliyeti</t>
  </si>
  <si>
    <t>Enerji maliyeti</t>
  </si>
  <si>
    <t>Toplam parti maliyeti</t>
  </si>
  <si>
    <t>Net çıktı kg</t>
  </si>
  <si>
    <t>Kavanoz sayısı</t>
  </si>
  <si>
    <t>Kavanoz başına ev maliyeti</t>
  </si>
  <si>
    <t>Market en ucuz</t>
  </si>
  <si>
    <t>Market en pahalı</t>
  </si>
  <si>
    <t>TL farkı, en ucuz</t>
  </si>
  <si>
    <t>% fark, en ucuz</t>
  </si>
  <si>
    <t>TL farkı, en pahalı</t>
  </si>
  <si>
    <t>% fark, en pahalı</t>
  </si>
  <si>
    <t>Mutfak süresi saat</t>
  </si>
  <si>
    <t>Ocak süresi saat</t>
  </si>
  <si>
    <t>Sonuç, en ucuz</t>
  </si>
  <si>
    <t>Sonuç, en pahalı</t>
  </si>
  <si>
    <t>Kaynak ve sınır notları</t>
  </si>
  <si>
    <t>Fiyat kaynağı değiştirildiğinde hammadde maliyeti Malzeme Fiyatları sayfasındaki ilgili senaryo sütunundan yeniden hesaplanır. Market karşılaştırması Market Rafı sayfasındaki aynı ürün grubunun kilo fiyatı ile Ev Notları kaynaklı kavanoz dolum ağırlığını çarpar. Tarhana için hazır raf muadili 0,66 kg eşdeğerine getirilir, ancak ev tarafında kavanoz ve kapak eklenmez.</t>
  </si>
  <si>
    <t>Toplam özet</t>
  </si>
  <si>
    <t>Toplam kavanoz sayısı</t>
  </si>
  <si>
    <t>Evde toplam maliyet</t>
  </si>
  <si>
    <t>Market en ucuz toplam</t>
  </si>
  <si>
    <t>Toplam mutfak süresi</t>
  </si>
  <si>
    <t>Mutfak süresi maliyete çevrilmedi</t>
  </si>
  <si>
    <t>Duyarlılık: fiyat kaynağı ve kavanoz maliyeti</t>
  </si>
  <si>
    <t>Kavanoz 19 TL: ev maliyeti</t>
  </si>
  <si>
    <t>Kavanoz 19 TL: % fark, en ucuz</t>
  </si>
  <si>
    <t>Kavanoz 19 TL: % fark, en pahalı</t>
  </si>
  <si>
    <t>Kavanoz 0 TL: ev maliyeti</t>
  </si>
  <si>
    <t>Kavanoz 0 TL: % fark, en ucuz</t>
  </si>
  <si>
    <t>Kavanoz 0 TL: % fark, en pahalı</t>
  </si>
  <si>
    <t>Kavanoz maliyeti etkisi</t>
  </si>
  <si>
    <t>Hammadde</t>
  </si>
  <si>
    <t>Sarf, ambalaj 19 TL</t>
  </si>
  <si>
    <t>Sarf, ambalaj 0 TL</t>
  </si>
  <si>
    <t>Enerji</t>
  </si>
  <si>
    <t>Hal ortalaması</t>
  </si>
  <si>
    <t>Pazar kasa</t>
  </si>
  <si>
    <t>Market</t>
  </si>
  <si>
    <t>Bu tablonun ölçmediği</t>
  </si>
  <si>
    <t>Yaz domatesinin kış yemeğine taşıdığı tadı ve biber salçasının yemeğe verdiği kokuyu ölçmez.</t>
  </si>
  <si>
    <t>Turşunun sofradaki alışkanlık değerini ve kayısı reçelinin kahvaltıya taşıdığı mevsim hissini ölçmez.</t>
  </si>
  <si>
    <t>Tarhananın aile tarifi olmasını, birlikte geçirilen mutfak zamanını ve hasta günündeki çorba anlamını paraya çevirmez.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</si>
</sst>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10">
    <font>
      <sz val="11"/>
      <color theme="1"/>
      <name val="Calibri"/>
      <family val="2"/>
      <scheme val="minor"/>
    </font>
    <font>
      <b/>
      <sz val="16"/>
      <color rgb="FFFFFFFF"/>
      <name val="Calibri"/>
    </font>
    <font>
      <i/>
      <sz val="10"/>
      <color rgb="FF1F3864"/>
      <name val="Calibri"/>
    </font>
    <font>
      <b/>
      <sz val="11"/>
      <color rgb="FFFFFFFF"/>
      <name val="Calibri"/>
    </font>
    <font>
      <b/>
      <sz val="11"/>
      <name val="Calibri"/>
    </font>
    <font>
      <b/>
      <sz val="11"/>
      <color theme="1"/>
      <name val="Calibri"/>
      <family val="2"/>
      <scheme val="minor"/>
    </font>
    <font>
      <b/>
      <sz val="18"/>
      <color rgb="FFFFFFFF"/>
      <name val="Calibri"/>
      <family val="2"/>
      <scheme val="minor"/>
    </font>
    <font>
      <i/>
      <sz val="11"/>
      <color rgb="FF666666"/>
      <name val="Calibri"/>
      <family val="2"/>
      <scheme val="minor"/>
    </font>
    <font>
      <b/>
      <sz val="11"/>
      <color rgb="FFFFFFFF"/>
      <name val="Calibri"/>
      <family val="2"/>
      <scheme val="minor"/>
    </font>
    <font>
      <sz val="11"/>
      <color rgb="FF333333"/>
      <name val="Calibri"/>
      <family val="2"/>
      <scheme val="minor"/>
    </font>
  </fonts>
  <fills count="8">
    <fill>
      <patternFill patternType="none"/>
    </fill>
    <fill>
      <patternFill patternType="gray125"/>
    </fill>
    <fill>
      <patternFill patternType="solid">
        <fgColor rgb="FF1F3864"/>
      </patternFill>
    </fill>
    <fill>
      <patternFill patternType="solid">
        <fgColor rgb="FFD9E2F3"/>
      </patternFill>
    </fill>
    <fill>
      <patternFill patternType="solid">
        <fgColor rgb="FF1F4E3D"/>
        <bgColor indexed="64"/>
      </patternFill>
    </fill>
    <fill>
      <patternFill patternType="solid">
        <fgColor rgb="FF4472C4"/>
        <bgColor indexed="64"/>
      </patternFill>
    </fill>
    <fill>
      <patternFill patternType="solid">
        <fgColor rgb="FFEAF3F0"/>
        <bgColor indexed="64"/>
      </patternFill>
    </fill>
    <fill>
      <patternFill patternType="solid">
        <fgColor rgb="FFF7FBF9"/>
        <bgColor indexed="64"/>
      </patternFill>
    </fill>
  </fills>
  <borders count="10">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1">
    <xf numFmtId="0" fontId="0" fillId="0" borderId="0"/>
  </cellStyleXfs>
  <cellXfs count="54">
    <xf numFmtId="0" fontId="0" fillId="0" borderId="0" xfId="0"/>
    <xf numFmtId="0" fontId="3" fillId="2" borderId="0" xfId="0" applyFont="1" applyFill="1" applyAlignment="1">
      <alignment horizontal="left" vertical="center"/>
    </xf>
    <xf numFmtId="0" fontId="0" fillId="0" borderId="0" xfId="0" applyAlignment="1">
      <alignment horizontal="left" vertical="center"/>
    </xf>
    <xf numFmtId="4" fontId="4" fillId="3" borderId="0" xfId="0" applyNumberFormat="1" applyFont="1" applyFill="1" applyAlignment="1">
      <alignment horizontal="left" vertical="center"/>
    </xf>
    <xf numFmtId="4" fontId="0" fillId="0" borderId="0" xfId="0" applyNumberFormat="1" applyAlignment="1">
      <alignment horizontal="left" vertical="center"/>
    </xf>
    <xf numFmtId="0" fontId="4" fillId="3" borderId="0" xfId="0" applyFont="1" applyFill="1" applyAlignment="1">
      <alignment horizontal="left" vertical="center"/>
    </xf>
    <xf numFmtId="0" fontId="0" fillId="0" borderId="0" xfId="0" applyAlignment="1">
      <alignment horizontal="left" vertical="top" wrapText="1"/>
    </xf>
    <xf numFmtId="0" fontId="2" fillId="0" borderId="0" xfId="0" applyFont="1" applyAlignment="1">
      <alignment horizontal="left" vertical="center"/>
    </xf>
    <xf numFmtId="0" fontId="1" fillId="2" borderId="0" xfId="0" applyFont="1" applyFill="1" applyAlignment="1">
      <alignment horizontal="left" vertical="center"/>
    </xf>
    <xf numFmtId="0" fontId="6" fillId="4" borderId="0" xfId="0" applyFont="1" applyFill="1" applyAlignment="1">
      <alignment horizontal="left" vertical="center"/>
    </xf>
    <xf numFmtId="0" fontId="7" fillId="0" borderId="0" xfId="0" applyFont="1" applyAlignment="1">
      <alignment wrapText="1"/>
    </xf>
    <xf numFmtId="4" fontId="0" fillId="0" borderId="0" xfId="0" applyNumberFormat="1"/>
    <xf numFmtId="0" fontId="0" fillId="0" borderId="0" xfId="0" applyAlignment="1">
      <alignment wrapText="1"/>
    </xf>
    <xf numFmtId="0" fontId="9" fillId="0" borderId="0" xfId="0" applyFont="1" applyAlignment="1">
      <alignment wrapText="1"/>
    </xf>
    <xf numFmtId="0" fontId="8" fillId="4" borderId="0" xfId="0" applyFont="1" applyFill="1" applyAlignment="1">
      <alignment horizontal="center" vertical="center" wrapText="1"/>
    </xf>
    <xf numFmtId="0" fontId="0" fillId="6" borderId="5" xfId="0" applyFill="1" applyBorder="1"/>
    <xf numFmtId="0" fontId="0" fillId="6" borderId="5" xfId="0" applyFill="1" applyBorder="1" applyAlignment="1">
      <alignment wrapText="1"/>
    </xf>
    <xf numFmtId="2" fontId="0" fillId="6" borderId="5" xfId="0" applyNumberFormat="1" applyFill="1" applyBorder="1"/>
    <xf numFmtId="0" fontId="0" fillId="7" borderId="5" xfId="0" applyFill="1" applyBorder="1" applyAlignment="1">
      <alignment horizontal="left"/>
    </xf>
    <xf numFmtId="0" fontId="0" fillId="0" borderId="5" xfId="0" applyBorder="1" applyAlignment="1">
      <alignment horizontal="left"/>
    </xf>
    <xf numFmtId="164" fontId="0" fillId="7" borderId="5" xfId="0" applyNumberFormat="1" applyFill="1" applyBorder="1" applyAlignment="1">
      <alignment horizontal="right"/>
    </xf>
    <xf numFmtId="2" fontId="0" fillId="7" borderId="5" xfId="0" applyNumberFormat="1" applyFill="1" applyBorder="1" applyAlignment="1">
      <alignment horizontal="right"/>
    </xf>
    <xf numFmtId="165" fontId="0" fillId="7" borderId="5" xfId="0" applyNumberFormat="1" applyFill="1" applyBorder="1" applyAlignment="1">
      <alignment horizontal="right"/>
    </xf>
    <xf numFmtId="164" fontId="0" fillId="0" borderId="5" xfId="0" applyNumberFormat="1" applyBorder="1" applyAlignment="1">
      <alignment horizontal="right"/>
    </xf>
    <xf numFmtId="2" fontId="0" fillId="0" borderId="5" xfId="0" applyNumberFormat="1" applyBorder="1" applyAlignment="1">
      <alignment horizontal="right"/>
    </xf>
    <xf numFmtId="165" fontId="0" fillId="0" borderId="5" xfId="0" applyNumberFormat="1" applyBorder="1" applyAlignment="1">
      <alignment horizontal="right"/>
    </xf>
    <xf numFmtId="0" fontId="5" fillId="7" borderId="5" xfId="0" applyFont="1" applyFill="1" applyBorder="1" applyAlignment="1">
      <alignment horizontal="center"/>
    </xf>
    <xf numFmtId="0" fontId="5" fillId="0" borderId="5" xfId="0" applyFont="1" applyBorder="1" applyAlignment="1">
      <alignment horizontal="center"/>
    </xf>
    <xf numFmtId="0" fontId="8"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2" fontId="0" fillId="6" borderId="7" xfId="0" applyNumberFormat="1" applyFill="1" applyBorder="1"/>
    <xf numFmtId="164" fontId="0" fillId="6" borderId="8" xfId="0" applyNumberFormat="1" applyFill="1" applyBorder="1"/>
    <xf numFmtId="2" fontId="0" fillId="6" borderId="8" xfId="0" applyNumberFormat="1" applyFill="1" applyBorder="1"/>
    <xf numFmtId="0" fontId="0" fillId="6" borderId="9" xfId="0" applyFill="1" applyBorder="1"/>
    <xf numFmtId="0" fontId="5" fillId="7" borderId="0" xfId="0" applyFont="1" applyFill="1"/>
    <xf numFmtId="0" fontId="0" fillId="7" borderId="0" xfId="0" applyFill="1" applyAlignment="1">
      <alignment wrapText="1"/>
    </xf>
    <xf numFmtId="0" fontId="0" fillId="0" borderId="1" xfId="0" applyBorder="1" applyAlignment="1">
      <alignment horizontal="left"/>
    </xf>
    <xf numFmtId="0" fontId="0" fillId="0" borderId="2" xfId="0" applyBorder="1" applyAlignment="1">
      <alignment horizontal="left"/>
    </xf>
    <xf numFmtId="0" fontId="0" fillId="0" borderId="4" xfId="0" applyBorder="1" applyAlignment="1">
      <alignment horizontal="left"/>
    </xf>
    <xf numFmtId="0" fontId="0" fillId="0" borderId="7" xfId="0" applyBorder="1" applyAlignment="1">
      <alignment horizontal="left"/>
    </xf>
    <xf numFmtId="0" fontId="0" fillId="0" borderId="8" xfId="0" applyBorder="1" applyAlignment="1">
      <alignment horizontal="left"/>
    </xf>
    <xf numFmtId="164" fontId="0" fillId="0" borderId="2" xfId="0" applyNumberFormat="1" applyBorder="1" applyAlignment="1">
      <alignment horizontal="right"/>
    </xf>
    <xf numFmtId="165" fontId="0" fillId="0" borderId="2" xfId="0" applyNumberFormat="1" applyBorder="1" applyAlignment="1">
      <alignment horizontal="right"/>
    </xf>
    <xf numFmtId="2" fontId="0" fillId="0" borderId="2" xfId="0" applyNumberFormat="1" applyBorder="1" applyAlignment="1">
      <alignment horizontal="right"/>
    </xf>
    <xf numFmtId="164" fontId="0" fillId="0" borderId="8" xfId="0" applyNumberFormat="1" applyBorder="1" applyAlignment="1">
      <alignment horizontal="right"/>
    </xf>
    <xf numFmtId="165" fontId="0" fillId="0" borderId="8" xfId="0" applyNumberFormat="1" applyBorder="1" applyAlignment="1">
      <alignment horizontal="right"/>
    </xf>
    <xf numFmtId="2" fontId="0" fillId="0" borderId="8" xfId="0" applyNumberFormat="1" applyBorder="1" applyAlignment="1">
      <alignment horizontal="right"/>
    </xf>
    <xf numFmtId="0" fontId="0" fillId="0" borderId="3"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0" fillId="0" borderId="0" xfId="0" applyAlignment="1"/>
    <xf numFmtId="0" fontId="8" fillId="5" borderId="0" xfId="0" applyFont="1" applyFill="1" applyAlignment="1"/>
    <xf numFmtId="0" fontId="0" fillId="7" borderId="0" xfId="0" applyFill="1" applyAlignment="1"/>
  </cellXfs>
  <cellStyles count="1">
    <cellStyle name="Normal" xfId="0" builtinId="0"/>
  </cellStyles>
  <dxfs count="8">
    <dxf>
      <font>
        <color rgb="FF9C0006"/>
      </font>
      <fill>
        <patternFill patternType="solid">
          <fgColor indexed="64"/>
          <bgColor rgb="FFF4CCCC"/>
        </patternFill>
      </fill>
    </dxf>
    <dxf>
      <font>
        <color rgb="FF006100"/>
      </font>
      <fill>
        <patternFill patternType="solid">
          <fgColor indexed="64"/>
          <bgColor rgb="FFDDEFD8"/>
        </patternFill>
      </fill>
    </dxf>
    <dxf>
      <font>
        <color rgb="FF9C0006"/>
      </font>
      <fill>
        <patternFill patternType="solid">
          <fgColor indexed="64"/>
          <bgColor rgb="FFF4CCCC"/>
        </patternFill>
      </fill>
    </dxf>
    <dxf>
      <font>
        <color rgb="FF006100"/>
      </font>
      <fill>
        <patternFill patternType="solid">
          <fgColor indexed="64"/>
          <bgColor rgb="FFDDEFD8"/>
        </patternFill>
      </fill>
    </dxf>
    <dxf>
      <font>
        <color rgb="FF9C0006"/>
      </font>
      <fill>
        <patternFill patternType="solid">
          <fgColor indexed="64"/>
          <bgColor rgb="FFF4CCCC"/>
        </patternFill>
      </fill>
    </dxf>
    <dxf>
      <font>
        <color rgb="FF006100"/>
      </font>
      <fill>
        <patternFill patternType="solid">
          <fgColor indexed="64"/>
          <bgColor rgb="FFDDEFD8"/>
        </patternFill>
      </fill>
    </dxf>
    <dxf>
      <font>
        <color rgb="FF9C0006"/>
      </font>
      <fill>
        <patternFill patternType="solid">
          <fgColor indexed="64"/>
          <bgColor rgb="FFF4CCCC"/>
        </patternFill>
      </fill>
    </dxf>
    <dxf>
      <font>
        <color rgb="FF006100"/>
      </font>
      <fill>
        <patternFill patternType="solid">
          <fgColor indexed="64"/>
          <bgColor rgb="FFDDEFD8"/>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
  <sheetViews>
    <sheetView workbookViewId="0">
      <pane ySplit="4" topLeftCell="A5" activePane="bottomLeft" state="frozen"/>
      <selection pane="bottomLeft"/>
    </sheetView>
  </sheetViews>
  <sheetFormatPr defaultRowHeight="15"/>
  <cols>
    <col min="1" max="1" width="24" customWidth="1"/>
    <col min="2" max="2" width="30" customWidth="1"/>
    <col min="3" max="3" width="10" customWidth="1"/>
    <col min="4" max="4" width="19" customWidth="1"/>
    <col min="5" max="5" width="17" customWidth="1"/>
    <col min="6" max="6" width="22" customWidth="1"/>
    <col min="7" max="7" width="14" customWidth="1"/>
    <col min="8" max="8" width="18" customWidth="1"/>
    <col min="9" max="9" width="19" customWidth="1"/>
    <col min="10" max="10" width="38" customWidth="1"/>
    <col min="11" max="11" width="14" customWidth="1"/>
  </cols>
  <sheetData>
    <row r="1" spans="1:11" ht="26.1" customHeight="1">
      <c r="A1" s="8" t="s">
        <v>0</v>
      </c>
      <c r="B1" s="51"/>
      <c r="C1" s="51"/>
      <c r="D1" s="51"/>
      <c r="E1" s="51"/>
      <c r="F1" s="51"/>
      <c r="G1" s="51"/>
      <c r="H1" s="51"/>
      <c r="I1" s="51"/>
      <c r="J1" s="51"/>
      <c r="K1" s="51"/>
    </row>
    <row r="2" spans="1:11">
      <c r="A2" s="7" t="s">
        <v>1</v>
      </c>
      <c r="B2" s="51"/>
      <c r="C2" s="51"/>
      <c r="D2" s="51"/>
      <c r="E2" s="51"/>
      <c r="F2" s="51"/>
      <c r="G2" s="51"/>
      <c r="H2" s="51"/>
      <c r="I2" s="51"/>
      <c r="J2" s="51"/>
      <c r="K2" s="51"/>
    </row>
    <row r="4" spans="1:11">
      <c r="A4" s="1" t="s">
        <v>2</v>
      </c>
      <c r="B4" s="1" t="s">
        <v>3</v>
      </c>
      <c r="C4" s="1" t="s">
        <v>4</v>
      </c>
      <c r="D4" s="1" t="s">
        <v>5</v>
      </c>
      <c r="E4" s="1" t="s">
        <v>6</v>
      </c>
      <c r="F4" s="1" t="s">
        <v>7</v>
      </c>
      <c r="G4" s="1" t="s">
        <v>8</v>
      </c>
      <c r="H4" s="1" t="s">
        <v>9</v>
      </c>
      <c r="I4" s="1" t="s">
        <v>10</v>
      </c>
      <c r="J4" s="1" t="s">
        <v>11</v>
      </c>
      <c r="K4" s="1" t="s">
        <v>12</v>
      </c>
    </row>
    <row r="5" spans="1:11">
      <c r="A5" s="2" t="s">
        <v>13</v>
      </c>
      <c r="B5" s="2" t="s">
        <v>14</v>
      </c>
      <c r="C5" s="2" t="s">
        <v>15</v>
      </c>
      <c r="D5" s="3">
        <v>15</v>
      </c>
      <c r="E5" s="3">
        <v>22.5</v>
      </c>
      <c r="F5" s="3">
        <v>25</v>
      </c>
      <c r="G5" s="3">
        <v>33.950000000000003</v>
      </c>
      <c r="H5" s="4">
        <v>10</v>
      </c>
      <c r="I5" s="4">
        <v>20</v>
      </c>
      <c r="J5" s="2" t="s">
        <v>16</v>
      </c>
      <c r="K5" s="2" t="s">
        <v>17</v>
      </c>
    </row>
    <row r="6" spans="1:11">
      <c r="A6" s="2" t="s">
        <v>18</v>
      </c>
      <c r="B6" s="2" t="s">
        <v>19</v>
      </c>
      <c r="C6" s="2" t="s">
        <v>15</v>
      </c>
      <c r="D6" s="3">
        <v>35</v>
      </c>
      <c r="E6" s="3">
        <v>38.5</v>
      </c>
      <c r="F6" s="3">
        <v>41.5</v>
      </c>
      <c r="G6" s="3">
        <v>43.95</v>
      </c>
      <c r="H6" s="4">
        <v>15</v>
      </c>
      <c r="I6" s="4">
        <v>55</v>
      </c>
      <c r="J6" s="2" t="s">
        <v>20</v>
      </c>
      <c r="K6" s="2" t="s">
        <v>17</v>
      </c>
    </row>
    <row r="7" spans="1:11">
      <c r="A7" s="2" t="s">
        <v>21</v>
      </c>
      <c r="B7" s="2" t="s">
        <v>22</v>
      </c>
      <c r="C7" s="2" t="s">
        <v>15</v>
      </c>
      <c r="D7" s="3">
        <v>52.5</v>
      </c>
      <c r="E7" s="3">
        <v>64.5</v>
      </c>
      <c r="F7" s="3">
        <v>75</v>
      </c>
      <c r="G7" s="3">
        <v>82.5</v>
      </c>
      <c r="H7" s="4">
        <v>30</v>
      </c>
      <c r="I7" s="4">
        <v>75</v>
      </c>
      <c r="J7" s="2" t="s">
        <v>23</v>
      </c>
      <c r="K7" s="2" t="s">
        <v>17</v>
      </c>
    </row>
    <row r="8" spans="1:11">
      <c r="A8" s="2" t="s">
        <v>24</v>
      </c>
      <c r="B8" s="2" t="s">
        <v>25</v>
      </c>
      <c r="C8" s="2" t="s">
        <v>15</v>
      </c>
      <c r="D8" s="3">
        <v>70</v>
      </c>
      <c r="E8" s="3">
        <v>100</v>
      </c>
      <c r="F8" s="3">
        <v>126</v>
      </c>
      <c r="G8" s="3">
        <v>144.5</v>
      </c>
      <c r="H8" s="4">
        <v>45</v>
      </c>
      <c r="I8" s="4">
        <v>95</v>
      </c>
      <c r="J8" s="2" t="s">
        <v>26</v>
      </c>
      <c r="K8" s="2" t="s">
        <v>17</v>
      </c>
    </row>
    <row r="9" spans="1:11">
      <c r="A9" s="2" t="s">
        <v>27</v>
      </c>
      <c r="B9" s="2" t="s">
        <v>28</v>
      </c>
      <c r="C9" s="2" t="s">
        <v>15</v>
      </c>
      <c r="D9" s="3">
        <v>15</v>
      </c>
      <c r="E9" s="3">
        <v>21.5</v>
      </c>
      <c r="F9" s="3">
        <v>27</v>
      </c>
      <c r="G9" s="3">
        <v>30.95</v>
      </c>
      <c r="H9" s="4">
        <v>10</v>
      </c>
      <c r="I9" s="4">
        <v>20</v>
      </c>
      <c r="J9" s="2" t="s">
        <v>29</v>
      </c>
      <c r="K9" s="2" t="s">
        <v>17</v>
      </c>
    </row>
    <row r="10" spans="1:11">
      <c r="A10" s="2" t="s">
        <v>30</v>
      </c>
      <c r="B10" s="2" t="s">
        <v>31</v>
      </c>
      <c r="C10" s="2" t="s">
        <v>15</v>
      </c>
      <c r="D10" s="3">
        <v>19</v>
      </c>
      <c r="E10" s="3">
        <v>44.5</v>
      </c>
      <c r="F10" s="3">
        <v>66.5</v>
      </c>
      <c r="G10" s="3">
        <v>82.5</v>
      </c>
      <c r="H10" s="4">
        <v>16</v>
      </c>
      <c r="I10" s="4">
        <v>22</v>
      </c>
      <c r="J10" s="2" t="s">
        <v>32</v>
      </c>
      <c r="K10" s="2" t="s">
        <v>17</v>
      </c>
    </row>
    <row r="11" spans="1:11">
      <c r="A11" s="2" t="s">
        <v>33</v>
      </c>
      <c r="B11" s="2" t="s">
        <v>34</v>
      </c>
      <c r="C11" s="2" t="s">
        <v>15</v>
      </c>
      <c r="D11" s="3">
        <v>17.5</v>
      </c>
      <c r="E11" s="3">
        <v>37.5</v>
      </c>
      <c r="F11" s="3">
        <v>54.5</v>
      </c>
      <c r="G11" s="3">
        <v>66.95</v>
      </c>
      <c r="H11" s="4">
        <v>15</v>
      </c>
      <c r="I11" s="4">
        <v>20</v>
      </c>
      <c r="J11" s="2" t="s">
        <v>35</v>
      </c>
      <c r="K11" s="2" t="s">
        <v>17</v>
      </c>
    </row>
    <row r="12" spans="1:11">
      <c r="A12" s="2" t="s">
        <v>36</v>
      </c>
      <c r="B12" s="2" t="s">
        <v>37</v>
      </c>
      <c r="C12" s="2" t="s">
        <v>15</v>
      </c>
      <c r="D12" s="3">
        <v>140</v>
      </c>
      <c r="E12" s="3">
        <v>175</v>
      </c>
      <c r="F12" s="3">
        <v>205</v>
      </c>
      <c r="G12" s="3">
        <v>226.95</v>
      </c>
      <c r="H12" s="4">
        <v>130</v>
      </c>
      <c r="I12" s="4">
        <v>150</v>
      </c>
      <c r="J12" s="2" t="s">
        <v>38</v>
      </c>
      <c r="K12" s="2" t="s">
        <v>17</v>
      </c>
    </row>
    <row r="13" spans="1:11">
      <c r="A13" s="2" t="s">
        <v>39</v>
      </c>
      <c r="B13" s="2" t="s">
        <v>40</v>
      </c>
      <c r="C13" s="2" t="s">
        <v>41</v>
      </c>
      <c r="D13" s="3">
        <v>7.5</v>
      </c>
      <c r="E13" s="3">
        <v>18</v>
      </c>
      <c r="F13" s="3">
        <v>27.5</v>
      </c>
      <c r="G13" s="3">
        <v>33.950000000000003</v>
      </c>
      <c r="H13" s="4">
        <v>5</v>
      </c>
      <c r="I13" s="4">
        <v>10</v>
      </c>
      <c r="J13" s="2" t="s">
        <v>42</v>
      </c>
      <c r="K13" s="2" t="s">
        <v>17</v>
      </c>
    </row>
    <row r="14" spans="1:11">
      <c r="A14" s="2" t="s">
        <v>43</v>
      </c>
      <c r="B14" s="2" t="s">
        <v>44</v>
      </c>
      <c r="C14" s="2" t="s">
        <v>15</v>
      </c>
      <c r="D14" s="3">
        <v>47.5</v>
      </c>
      <c r="E14" s="3">
        <v>52.5</v>
      </c>
      <c r="F14" s="3">
        <v>57</v>
      </c>
      <c r="G14" s="3">
        <v>59.95</v>
      </c>
      <c r="H14" s="4">
        <v>45</v>
      </c>
      <c r="I14" s="4">
        <v>50</v>
      </c>
      <c r="J14" s="2" t="s">
        <v>45</v>
      </c>
      <c r="K14" s="2" t="s">
        <v>17</v>
      </c>
    </row>
    <row r="15" spans="1:11">
      <c r="A15" s="2" t="s">
        <v>46</v>
      </c>
      <c r="B15" s="2" t="s">
        <v>47</v>
      </c>
      <c r="C15" s="2" t="s">
        <v>41</v>
      </c>
      <c r="D15" s="3">
        <v>10</v>
      </c>
      <c r="E15" s="3">
        <v>19.5</v>
      </c>
      <c r="F15" s="3">
        <v>28</v>
      </c>
      <c r="G15" s="3">
        <v>33.950000000000003</v>
      </c>
      <c r="H15" s="4">
        <v>8</v>
      </c>
      <c r="I15" s="4">
        <v>12</v>
      </c>
      <c r="J15" s="2" t="s">
        <v>48</v>
      </c>
      <c r="K15" s="2" t="s">
        <v>17</v>
      </c>
    </row>
    <row r="16" spans="1:11">
      <c r="A16" s="2" t="s">
        <v>49</v>
      </c>
      <c r="B16" s="2" t="s">
        <v>50</v>
      </c>
      <c r="C16" s="2" t="s">
        <v>41</v>
      </c>
      <c r="D16" s="3">
        <v>8</v>
      </c>
      <c r="E16" s="3">
        <v>17</v>
      </c>
      <c r="F16" s="3">
        <v>25</v>
      </c>
      <c r="G16" s="3">
        <v>30.95</v>
      </c>
      <c r="H16" s="4">
        <v>4</v>
      </c>
      <c r="I16" s="4">
        <v>12</v>
      </c>
      <c r="J16" s="2" t="s">
        <v>51</v>
      </c>
      <c r="K16" s="2" t="s">
        <v>17</v>
      </c>
    </row>
    <row r="17" spans="1:11">
      <c r="A17" s="2" t="s">
        <v>52</v>
      </c>
      <c r="B17" s="2" t="s">
        <v>53</v>
      </c>
      <c r="C17" s="2" t="s">
        <v>15</v>
      </c>
      <c r="D17" s="3">
        <v>80</v>
      </c>
      <c r="E17" s="3">
        <v>101.5</v>
      </c>
      <c r="F17" s="3">
        <v>120.5</v>
      </c>
      <c r="G17" s="3">
        <v>133.94999999999999</v>
      </c>
      <c r="H17" s="4">
        <v>60</v>
      </c>
      <c r="I17" s="4">
        <v>100</v>
      </c>
      <c r="J17" s="2" t="s">
        <v>54</v>
      </c>
      <c r="K17" s="2" t="s">
        <v>17</v>
      </c>
    </row>
  </sheetData>
  <mergeCells count="2">
    <mergeCell ref="A2:K2"/>
    <mergeCell ref="A1:K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
  <sheetViews>
    <sheetView workbookViewId="0">
      <pane ySplit="4" topLeftCell="A5" activePane="bottomLeft" state="frozen"/>
      <selection pane="bottomLeft"/>
    </sheetView>
  </sheetViews>
  <sheetFormatPr defaultRowHeight="15"/>
  <cols>
    <col min="1" max="1" width="18" customWidth="1"/>
    <col min="2" max="2" width="42" customWidth="1"/>
    <col min="3" max="3" width="13" customWidth="1"/>
    <col min="4" max="4" width="16" customWidth="1"/>
    <col min="5" max="5" width="17" customWidth="1"/>
    <col min="6" max="6" width="34" customWidth="1"/>
    <col min="7" max="7" width="14" customWidth="1"/>
  </cols>
  <sheetData>
    <row r="1" spans="1:7" ht="26.1" customHeight="1">
      <c r="A1" s="8" t="s">
        <v>55</v>
      </c>
      <c r="B1" s="51"/>
      <c r="C1" s="51"/>
      <c r="D1" s="51"/>
      <c r="E1" s="51"/>
      <c r="F1" s="51"/>
      <c r="G1" s="51"/>
    </row>
    <row r="2" spans="1:7">
      <c r="A2" s="7" t="s">
        <v>56</v>
      </c>
      <c r="B2" s="51"/>
      <c r="C2" s="51"/>
      <c r="D2" s="51"/>
      <c r="E2" s="51"/>
      <c r="F2" s="51"/>
      <c r="G2" s="51"/>
    </row>
    <row r="4" spans="1:7">
      <c r="A4" s="1" t="s">
        <v>57</v>
      </c>
      <c r="B4" s="1" t="s">
        <v>58</v>
      </c>
      <c r="C4" s="1" t="s">
        <v>59</v>
      </c>
      <c r="D4" s="1" t="s">
        <v>60</v>
      </c>
      <c r="E4" s="1" t="s">
        <v>61</v>
      </c>
      <c r="F4" s="1" t="s">
        <v>62</v>
      </c>
      <c r="G4" s="1" t="s">
        <v>12</v>
      </c>
    </row>
    <row r="5" spans="1:7">
      <c r="A5" s="2" t="s">
        <v>63</v>
      </c>
      <c r="B5" s="2" t="s">
        <v>64</v>
      </c>
      <c r="C5" s="4">
        <v>0.83</v>
      </c>
      <c r="D5" s="4">
        <v>55.95</v>
      </c>
      <c r="E5" s="4">
        <v>67.41</v>
      </c>
      <c r="F5" s="2" t="s">
        <v>65</v>
      </c>
      <c r="G5" s="2" t="s">
        <v>17</v>
      </c>
    </row>
    <row r="6" spans="1:7">
      <c r="A6" s="2" t="s">
        <v>63</v>
      </c>
      <c r="B6" s="2" t="s">
        <v>66</v>
      </c>
      <c r="C6" s="4">
        <v>0.36</v>
      </c>
      <c r="D6" s="4">
        <v>69.95</v>
      </c>
      <c r="E6" s="4">
        <v>194.31</v>
      </c>
      <c r="F6" s="2" t="s">
        <v>65</v>
      </c>
      <c r="G6" s="2" t="s">
        <v>17</v>
      </c>
    </row>
    <row r="7" spans="1:7">
      <c r="A7" s="2" t="s">
        <v>67</v>
      </c>
      <c r="B7" s="2" t="s">
        <v>68</v>
      </c>
      <c r="C7" s="4">
        <v>0.7</v>
      </c>
      <c r="D7" s="4">
        <v>79.95</v>
      </c>
      <c r="E7" s="4">
        <v>114.21</v>
      </c>
      <c r="F7" s="2" t="s">
        <v>65</v>
      </c>
      <c r="G7" s="2" t="s">
        <v>17</v>
      </c>
    </row>
    <row r="8" spans="1:7">
      <c r="A8" s="2" t="s">
        <v>67</v>
      </c>
      <c r="B8" s="2" t="s">
        <v>69</v>
      </c>
      <c r="C8" s="4">
        <v>0.55000000000000004</v>
      </c>
      <c r="D8" s="4">
        <v>149.94999999999999</v>
      </c>
      <c r="E8" s="4">
        <v>272.64</v>
      </c>
      <c r="F8" s="2" t="s">
        <v>65</v>
      </c>
      <c r="G8" s="2" t="s">
        <v>17</v>
      </c>
    </row>
    <row r="9" spans="1:7">
      <c r="A9" s="2" t="s">
        <v>70</v>
      </c>
      <c r="B9" s="2" t="s">
        <v>71</v>
      </c>
      <c r="C9" s="4">
        <v>0.67</v>
      </c>
      <c r="D9" s="4">
        <v>68.5</v>
      </c>
      <c r="E9" s="4">
        <v>102.24</v>
      </c>
      <c r="F9" s="2" t="s">
        <v>65</v>
      </c>
      <c r="G9" s="2" t="s">
        <v>17</v>
      </c>
    </row>
    <row r="10" spans="1:7">
      <c r="A10" s="2" t="s">
        <v>70</v>
      </c>
      <c r="B10" s="2" t="s">
        <v>72</v>
      </c>
      <c r="C10" s="4">
        <v>0.68</v>
      </c>
      <c r="D10" s="4">
        <v>109.95</v>
      </c>
      <c r="E10" s="4">
        <v>161.69</v>
      </c>
      <c r="F10" s="2" t="s">
        <v>65</v>
      </c>
      <c r="G10" s="2" t="s">
        <v>17</v>
      </c>
    </row>
    <row r="11" spans="1:7">
      <c r="A11" s="2" t="s">
        <v>73</v>
      </c>
      <c r="B11" s="2" t="s">
        <v>74</v>
      </c>
      <c r="C11" s="4">
        <v>0.38</v>
      </c>
      <c r="D11" s="4">
        <v>74.95</v>
      </c>
      <c r="E11" s="4">
        <v>197.24</v>
      </c>
      <c r="F11" s="2" t="s">
        <v>65</v>
      </c>
      <c r="G11" s="2" t="s">
        <v>17</v>
      </c>
    </row>
    <row r="12" spans="1:7">
      <c r="A12" s="2" t="s">
        <v>73</v>
      </c>
      <c r="B12" s="2" t="s">
        <v>75</v>
      </c>
      <c r="C12" s="4">
        <v>0.38</v>
      </c>
      <c r="D12" s="4">
        <v>99.95</v>
      </c>
      <c r="E12" s="4">
        <v>263.02999999999997</v>
      </c>
      <c r="F12" s="2" t="s">
        <v>65</v>
      </c>
      <c r="G12" s="2" t="s">
        <v>17</v>
      </c>
    </row>
    <row r="13" spans="1:7">
      <c r="A13" s="2" t="s">
        <v>76</v>
      </c>
      <c r="B13" s="2" t="s">
        <v>77</v>
      </c>
      <c r="C13" s="4">
        <v>0.5</v>
      </c>
      <c r="D13" s="4">
        <v>138.94999999999999</v>
      </c>
      <c r="E13" s="4">
        <v>277.89999999999998</v>
      </c>
      <c r="F13" s="2" t="s">
        <v>65</v>
      </c>
      <c r="G13" s="2" t="s">
        <v>17</v>
      </c>
    </row>
    <row r="14" spans="1:7">
      <c r="A14" s="2" t="s">
        <v>76</v>
      </c>
      <c r="B14" s="2" t="s">
        <v>78</v>
      </c>
      <c r="C14" s="4">
        <v>0.25</v>
      </c>
      <c r="D14" s="4">
        <v>78.95</v>
      </c>
      <c r="E14" s="4">
        <v>315.8</v>
      </c>
      <c r="F14" s="2" t="s">
        <v>65</v>
      </c>
      <c r="G14" s="2" t="s">
        <v>17</v>
      </c>
    </row>
  </sheetData>
  <mergeCells count="2">
    <mergeCell ref="A2:G2"/>
    <mergeCell ref="A1:G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
  <sheetViews>
    <sheetView workbookViewId="0">
      <pane ySplit="4" topLeftCell="A5" activePane="bottomLeft" state="frozen"/>
      <selection pane="bottomLeft"/>
    </sheetView>
  </sheetViews>
  <sheetFormatPr defaultRowHeight="15"/>
  <cols>
    <col min="1" max="1" width="30" customWidth="1"/>
    <col min="2" max="2" width="42" customWidth="1"/>
    <col min="3" max="4" width="10" customWidth="1"/>
    <col min="5" max="5" width="14" customWidth="1"/>
    <col min="6" max="6" width="18" customWidth="1"/>
  </cols>
  <sheetData>
    <row r="1" spans="1:6" ht="26.1" customHeight="1">
      <c r="A1" s="8" t="s">
        <v>79</v>
      </c>
      <c r="B1" s="51"/>
      <c r="C1" s="51"/>
      <c r="D1" s="51"/>
      <c r="E1" s="51"/>
      <c r="F1" s="51"/>
    </row>
    <row r="2" spans="1:6">
      <c r="A2" s="7" t="s">
        <v>80</v>
      </c>
      <c r="B2" s="51"/>
      <c r="C2" s="51"/>
      <c r="D2" s="51"/>
      <c r="E2" s="51"/>
      <c r="F2" s="51"/>
    </row>
    <row r="4" spans="1:6">
      <c r="A4" s="1" t="s">
        <v>81</v>
      </c>
      <c r="B4" s="1" t="s">
        <v>82</v>
      </c>
      <c r="C4" s="1" t="s">
        <v>83</v>
      </c>
      <c r="D4" s="1" t="s">
        <v>4</v>
      </c>
      <c r="E4" s="1" t="s">
        <v>84</v>
      </c>
      <c r="F4" s="1" t="s">
        <v>85</v>
      </c>
    </row>
    <row r="5" spans="1:6">
      <c r="A5" s="2" t="s">
        <v>86</v>
      </c>
      <c r="B5" s="2" t="s">
        <v>87</v>
      </c>
      <c r="C5" s="4">
        <v>1</v>
      </c>
      <c r="D5" s="2" t="s">
        <v>15</v>
      </c>
      <c r="E5" s="4">
        <v>80</v>
      </c>
      <c r="F5" s="4">
        <v>80</v>
      </c>
    </row>
    <row r="6" spans="1:6">
      <c r="A6" s="2" t="s">
        <v>88</v>
      </c>
      <c r="B6" s="2" t="s">
        <v>89</v>
      </c>
      <c r="C6" s="4">
        <v>1</v>
      </c>
      <c r="D6" s="2" t="s">
        <v>90</v>
      </c>
      <c r="E6" s="4">
        <v>50</v>
      </c>
      <c r="F6" s="4">
        <v>50</v>
      </c>
    </row>
    <row r="7" spans="1:6">
      <c r="A7" s="2" t="s">
        <v>91</v>
      </c>
      <c r="B7" s="2" t="s">
        <v>92</v>
      </c>
      <c r="C7" s="4">
        <v>5</v>
      </c>
      <c r="D7" s="2" t="s">
        <v>15</v>
      </c>
      <c r="E7" s="4">
        <v>209.95</v>
      </c>
      <c r="F7" s="4">
        <v>41.99</v>
      </c>
    </row>
    <row r="8" spans="1:6">
      <c r="A8" s="2" t="s">
        <v>93</v>
      </c>
      <c r="B8" s="2" t="s">
        <v>94</v>
      </c>
      <c r="C8" s="4">
        <v>2</v>
      </c>
      <c r="D8" s="2" t="s">
        <v>15</v>
      </c>
      <c r="E8" s="4">
        <v>50</v>
      </c>
      <c r="F8" s="4">
        <v>25</v>
      </c>
    </row>
    <row r="9" spans="1:6">
      <c r="A9" s="2" t="s">
        <v>95</v>
      </c>
      <c r="B9" s="2" t="s">
        <v>96</v>
      </c>
      <c r="C9" s="4">
        <v>1</v>
      </c>
      <c r="D9" s="2" t="s">
        <v>15</v>
      </c>
      <c r="E9" s="4">
        <v>94.5</v>
      </c>
      <c r="F9" s="4">
        <v>94.5</v>
      </c>
    </row>
    <row r="10" spans="1:6">
      <c r="A10" s="2" t="s">
        <v>97</v>
      </c>
      <c r="B10" s="2" t="s">
        <v>98</v>
      </c>
      <c r="C10" s="4">
        <v>1</v>
      </c>
      <c r="D10" s="2" t="s">
        <v>99</v>
      </c>
      <c r="E10" s="4">
        <v>19</v>
      </c>
      <c r="F10" s="4">
        <v>19</v>
      </c>
    </row>
    <row r="11" spans="1:6">
      <c r="A11" s="2" t="s">
        <v>100</v>
      </c>
      <c r="B11" s="2" t="s">
        <v>98</v>
      </c>
      <c r="C11" s="4">
        <v>1</v>
      </c>
      <c r="D11" s="2" t="s">
        <v>99</v>
      </c>
      <c r="E11" s="4">
        <v>29</v>
      </c>
      <c r="F11" s="4">
        <v>29</v>
      </c>
    </row>
    <row r="12" spans="1:6">
      <c r="A12" s="2" t="s">
        <v>101</v>
      </c>
      <c r="B12" s="2" t="s">
        <v>98</v>
      </c>
      <c r="C12" s="4">
        <v>10</v>
      </c>
      <c r="D12" s="2" t="s">
        <v>99</v>
      </c>
      <c r="E12" s="4">
        <v>40</v>
      </c>
      <c r="F12" s="4">
        <v>4</v>
      </c>
    </row>
  </sheetData>
  <mergeCells count="2">
    <mergeCell ref="A2:F2"/>
    <mergeCell ref="A1:F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6"/>
  <sheetViews>
    <sheetView workbookViewId="0">
      <pane ySplit="4" topLeftCell="A5" activePane="bottomLeft" state="frozen"/>
      <selection pane="bottomLeft"/>
    </sheetView>
  </sheetViews>
  <sheetFormatPr defaultRowHeight="15"/>
  <cols>
    <col min="1" max="1" width="18" customWidth="1"/>
    <col min="2" max="2" width="40" customWidth="1"/>
    <col min="3" max="3" width="12" customWidth="1"/>
    <col min="4" max="4" width="24" customWidth="1"/>
    <col min="5" max="6" width="10" customWidth="1"/>
    <col min="7" max="7" width="15" customWidth="1"/>
    <col min="8" max="8" width="12" customWidth="1"/>
    <col min="9" max="9" width="20" customWidth="1"/>
    <col min="10" max="10" width="56" customWidth="1"/>
    <col min="11" max="11" width="70" customWidth="1"/>
  </cols>
  <sheetData>
    <row r="1" spans="1:11" ht="26.1" customHeight="1">
      <c r="A1" s="8" t="s">
        <v>102</v>
      </c>
      <c r="B1" s="51"/>
      <c r="C1" s="51"/>
      <c r="D1" s="51"/>
      <c r="E1" s="51"/>
      <c r="F1" s="51"/>
      <c r="G1" s="51"/>
      <c r="H1" s="51"/>
      <c r="I1" s="51"/>
      <c r="J1" s="51"/>
      <c r="K1" s="51"/>
    </row>
    <row r="2" spans="1:11">
      <c r="A2" s="7" t="s">
        <v>103</v>
      </c>
      <c r="B2" s="51"/>
      <c r="C2" s="51"/>
      <c r="D2" s="51"/>
      <c r="E2" s="51"/>
      <c r="F2" s="51"/>
      <c r="G2" s="51"/>
      <c r="H2" s="51"/>
      <c r="I2" s="51"/>
      <c r="J2" s="51"/>
      <c r="K2" s="51"/>
    </row>
    <row r="4" spans="1:11">
      <c r="A4" s="1" t="s">
        <v>104</v>
      </c>
      <c r="B4" s="1" t="s">
        <v>105</v>
      </c>
      <c r="C4" s="1" t="s">
        <v>106</v>
      </c>
      <c r="D4" s="1" t="s">
        <v>107</v>
      </c>
      <c r="E4" s="1" t="s">
        <v>83</v>
      </c>
      <c r="F4" s="1" t="s">
        <v>4</v>
      </c>
      <c r="G4" s="1" t="s">
        <v>108</v>
      </c>
      <c r="H4" s="1" t="s">
        <v>109</v>
      </c>
      <c r="I4" s="1" t="s">
        <v>110</v>
      </c>
      <c r="J4" s="1" t="s">
        <v>111</v>
      </c>
      <c r="K4" s="1" t="s">
        <v>112</v>
      </c>
    </row>
    <row r="5" spans="1:11">
      <c r="A5" s="2" t="s">
        <v>63</v>
      </c>
      <c r="B5" s="2" t="s">
        <v>113</v>
      </c>
      <c r="C5" s="2" t="s">
        <v>114</v>
      </c>
      <c r="D5" s="2" t="s">
        <v>13</v>
      </c>
      <c r="E5" s="4">
        <v>10</v>
      </c>
      <c r="F5" s="2" t="s">
        <v>15</v>
      </c>
      <c r="G5" s="4">
        <v>1.2</v>
      </c>
      <c r="H5" s="4">
        <v>3</v>
      </c>
      <c r="I5" s="4">
        <v>3</v>
      </c>
      <c r="J5" s="2" t="s">
        <v>115</v>
      </c>
      <c r="K5" s="2" t="s">
        <v>116</v>
      </c>
    </row>
    <row r="6" spans="1:11">
      <c r="A6" s="2" t="s">
        <v>63</v>
      </c>
      <c r="B6" s="2" t="s">
        <v>113</v>
      </c>
      <c r="C6" s="2" t="s">
        <v>114</v>
      </c>
      <c r="D6" s="2" t="s">
        <v>86</v>
      </c>
      <c r="E6" s="4">
        <v>0.05</v>
      </c>
      <c r="F6" s="2" t="s">
        <v>15</v>
      </c>
      <c r="G6" s="4">
        <v>1.2</v>
      </c>
      <c r="H6" s="4">
        <v>3</v>
      </c>
      <c r="I6" s="4">
        <v>3</v>
      </c>
      <c r="J6" s="2" t="s">
        <v>115</v>
      </c>
      <c r="K6" s="2" t="s">
        <v>116</v>
      </c>
    </row>
    <row r="7" spans="1:11">
      <c r="A7" s="2" t="s">
        <v>67</v>
      </c>
      <c r="B7" s="2" t="s">
        <v>117</v>
      </c>
      <c r="C7" s="2" t="s">
        <v>114</v>
      </c>
      <c r="D7" s="2" t="s">
        <v>21</v>
      </c>
      <c r="E7" s="4">
        <v>10</v>
      </c>
      <c r="F7" s="2" t="s">
        <v>15</v>
      </c>
      <c r="G7" s="4">
        <v>2</v>
      </c>
      <c r="H7" s="4">
        <v>2.5</v>
      </c>
      <c r="I7" s="4">
        <v>3.5</v>
      </c>
      <c r="J7" s="2" t="s">
        <v>118</v>
      </c>
      <c r="K7" s="2" t="s">
        <v>119</v>
      </c>
    </row>
    <row r="8" spans="1:11">
      <c r="A8" s="2" t="s">
        <v>67</v>
      </c>
      <c r="B8" s="2" t="s">
        <v>117</v>
      </c>
      <c r="C8" s="2" t="s">
        <v>114</v>
      </c>
      <c r="D8" s="2" t="s">
        <v>86</v>
      </c>
      <c r="E8" s="4">
        <v>0.06</v>
      </c>
      <c r="F8" s="2" t="s">
        <v>15</v>
      </c>
      <c r="G8" s="4">
        <v>2</v>
      </c>
      <c r="H8" s="4">
        <v>2.5</v>
      </c>
      <c r="I8" s="4">
        <v>3.5</v>
      </c>
      <c r="J8" s="2" t="s">
        <v>118</v>
      </c>
      <c r="K8" s="2" t="s">
        <v>119</v>
      </c>
    </row>
    <row r="9" spans="1:11">
      <c r="A9" s="2" t="s">
        <v>70</v>
      </c>
      <c r="B9" s="2" t="s">
        <v>120</v>
      </c>
      <c r="C9" s="2" t="s">
        <v>114</v>
      </c>
      <c r="D9" s="2" t="s">
        <v>27</v>
      </c>
      <c r="E9" s="4">
        <v>3</v>
      </c>
      <c r="F9" s="2" t="s">
        <v>15</v>
      </c>
      <c r="G9" s="4">
        <v>7</v>
      </c>
      <c r="H9" s="4">
        <v>0.5</v>
      </c>
      <c r="I9" s="4">
        <v>2</v>
      </c>
      <c r="J9" s="2" t="s">
        <v>121</v>
      </c>
      <c r="K9" s="2" t="s">
        <v>122</v>
      </c>
    </row>
    <row r="10" spans="1:11">
      <c r="A10" s="2" t="s">
        <v>70</v>
      </c>
      <c r="B10" s="2" t="s">
        <v>120</v>
      </c>
      <c r="C10" s="2" t="s">
        <v>114</v>
      </c>
      <c r="D10" s="2" t="s">
        <v>30</v>
      </c>
      <c r="E10" s="4">
        <v>0.6</v>
      </c>
      <c r="F10" s="2" t="s">
        <v>15</v>
      </c>
      <c r="G10" s="4">
        <v>7</v>
      </c>
      <c r="H10" s="4">
        <v>0.5</v>
      </c>
      <c r="I10" s="4">
        <v>2</v>
      </c>
      <c r="J10" s="2" t="s">
        <v>121</v>
      </c>
      <c r="K10" s="2" t="s">
        <v>122</v>
      </c>
    </row>
    <row r="11" spans="1:11">
      <c r="A11" s="2" t="s">
        <v>70</v>
      </c>
      <c r="B11" s="2" t="s">
        <v>120</v>
      </c>
      <c r="C11" s="2" t="s">
        <v>114</v>
      </c>
      <c r="D11" s="2" t="s">
        <v>33</v>
      </c>
      <c r="E11" s="4">
        <v>0.6</v>
      </c>
      <c r="F11" s="2" t="s">
        <v>15</v>
      </c>
      <c r="G11" s="4">
        <v>7</v>
      </c>
      <c r="H11" s="4">
        <v>0.5</v>
      </c>
      <c r="I11" s="4">
        <v>2</v>
      </c>
      <c r="J11" s="2" t="s">
        <v>121</v>
      </c>
      <c r="K11" s="2" t="s">
        <v>122</v>
      </c>
    </row>
    <row r="12" spans="1:11">
      <c r="A12" s="2" t="s">
        <v>70</v>
      </c>
      <c r="B12" s="2" t="s">
        <v>120</v>
      </c>
      <c r="C12" s="2" t="s">
        <v>114</v>
      </c>
      <c r="D12" s="2" t="s">
        <v>24</v>
      </c>
      <c r="E12" s="4">
        <v>0.3</v>
      </c>
      <c r="F12" s="2" t="s">
        <v>15</v>
      </c>
      <c r="G12" s="4">
        <v>7</v>
      </c>
      <c r="H12" s="4">
        <v>0.5</v>
      </c>
      <c r="I12" s="4">
        <v>2</v>
      </c>
      <c r="J12" s="2" t="s">
        <v>121</v>
      </c>
      <c r="K12" s="2" t="s">
        <v>122</v>
      </c>
    </row>
    <row r="13" spans="1:11">
      <c r="A13" s="2" t="s">
        <v>70</v>
      </c>
      <c r="B13" s="2" t="s">
        <v>120</v>
      </c>
      <c r="C13" s="2" t="s">
        <v>114</v>
      </c>
      <c r="D13" s="2" t="s">
        <v>36</v>
      </c>
      <c r="E13" s="4">
        <v>0.1</v>
      </c>
      <c r="F13" s="2" t="s">
        <v>15</v>
      </c>
      <c r="G13" s="4">
        <v>7</v>
      </c>
      <c r="H13" s="4">
        <v>0.5</v>
      </c>
      <c r="I13" s="4">
        <v>2</v>
      </c>
      <c r="J13" s="2" t="s">
        <v>121</v>
      </c>
      <c r="K13" s="2" t="s">
        <v>122</v>
      </c>
    </row>
    <row r="14" spans="1:11">
      <c r="A14" s="2" t="s">
        <v>70</v>
      </c>
      <c r="B14" s="2" t="s">
        <v>120</v>
      </c>
      <c r="C14" s="2" t="s">
        <v>114</v>
      </c>
      <c r="D14" s="2" t="s">
        <v>39</v>
      </c>
      <c r="E14" s="4">
        <v>2</v>
      </c>
      <c r="F14" s="2" t="s">
        <v>41</v>
      </c>
      <c r="G14" s="4">
        <v>7</v>
      </c>
      <c r="H14" s="4">
        <v>0.5</v>
      </c>
      <c r="I14" s="4">
        <v>2</v>
      </c>
      <c r="J14" s="2" t="s">
        <v>121</v>
      </c>
      <c r="K14" s="2" t="s">
        <v>122</v>
      </c>
    </row>
    <row r="15" spans="1:11">
      <c r="A15" s="2" t="s">
        <v>70</v>
      </c>
      <c r="B15" s="2" t="s">
        <v>120</v>
      </c>
      <c r="C15" s="2" t="s">
        <v>114</v>
      </c>
      <c r="D15" s="2" t="s">
        <v>88</v>
      </c>
      <c r="E15" s="4">
        <v>0.6</v>
      </c>
      <c r="F15" s="2" t="s">
        <v>90</v>
      </c>
      <c r="G15" s="4">
        <v>7</v>
      </c>
      <c r="H15" s="4">
        <v>0.5</v>
      </c>
      <c r="I15" s="4">
        <v>2</v>
      </c>
      <c r="J15" s="2" t="s">
        <v>121</v>
      </c>
      <c r="K15" s="2" t="s">
        <v>122</v>
      </c>
    </row>
    <row r="16" spans="1:11">
      <c r="A16" s="2" t="s">
        <v>70</v>
      </c>
      <c r="B16" s="2" t="s">
        <v>120</v>
      </c>
      <c r="C16" s="2" t="s">
        <v>114</v>
      </c>
      <c r="D16" s="2" t="s">
        <v>86</v>
      </c>
      <c r="E16" s="4">
        <v>0.15</v>
      </c>
      <c r="F16" s="2" t="s">
        <v>15</v>
      </c>
      <c r="G16" s="4">
        <v>7</v>
      </c>
      <c r="H16" s="4">
        <v>0.5</v>
      </c>
      <c r="I16" s="4">
        <v>2</v>
      </c>
      <c r="J16" s="2" t="s">
        <v>121</v>
      </c>
      <c r="K16" s="2" t="s">
        <v>122</v>
      </c>
    </row>
    <row r="17" spans="1:11">
      <c r="A17" s="2" t="s">
        <v>73</v>
      </c>
      <c r="B17" s="2" t="s">
        <v>123</v>
      </c>
      <c r="C17" s="2" t="s">
        <v>114</v>
      </c>
      <c r="D17" s="2" t="s">
        <v>52</v>
      </c>
      <c r="E17" s="4">
        <v>4</v>
      </c>
      <c r="F17" s="2" t="s">
        <v>15</v>
      </c>
      <c r="G17" s="4">
        <v>5.2</v>
      </c>
      <c r="H17" s="4">
        <v>1.5</v>
      </c>
      <c r="I17" s="4">
        <v>2</v>
      </c>
      <c r="J17" s="2" t="s">
        <v>124</v>
      </c>
      <c r="K17" s="2" t="s">
        <v>125</v>
      </c>
    </row>
    <row r="18" spans="1:11">
      <c r="A18" s="2" t="s">
        <v>73</v>
      </c>
      <c r="B18" s="2" t="s">
        <v>123</v>
      </c>
      <c r="C18" s="2" t="s">
        <v>114</v>
      </c>
      <c r="D18" s="2" t="s">
        <v>91</v>
      </c>
      <c r="E18" s="4">
        <v>3</v>
      </c>
      <c r="F18" s="2" t="s">
        <v>15</v>
      </c>
      <c r="G18" s="4">
        <v>5.2</v>
      </c>
      <c r="H18" s="4">
        <v>1.5</v>
      </c>
      <c r="I18" s="4">
        <v>2</v>
      </c>
      <c r="J18" s="2" t="s">
        <v>124</v>
      </c>
      <c r="K18" s="2" t="s">
        <v>125</v>
      </c>
    </row>
    <row r="19" spans="1:11">
      <c r="A19" s="2" t="s">
        <v>76</v>
      </c>
      <c r="B19" s="2" t="s">
        <v>126</v>
      </c>
      <c r="C19" s="2" t="s">
        <v>127</v>
      </c>
      <c r="D19" s="2" t="s">
        <v>18</v>
      </c>
      <c r="E19" s="4">
        <v>4</v>
      </c>
      <c r="F19" s="2" t="s">
        <v>15</v>
      </c>
      <c r="G19" s="4">
        <v>4</v>
      </c>
      <c r="H19" s="4">
        <v>2</v>
      </c>
      <c r="I19" s="4">
        <v>6</v>
      </c>
      <c r="J19" s="2" t="s">
        <v>128</v>
      </c>
      <c r="K19" s="2" t="s">
        <v>129</v>
      </c>
    </row>
    <row r="20" spans="1:11">
      <c r="A20" s="2" t="s">
        <v>76</v>
      </c>
      <c r="B20" s="2" t="s">
        <v>126</v>
      </c>
      <c r="C20" s="2" t="s">
        <v>127</v>
      </c>
      <c r="D20" s="2" t="s">
        <v>21</v>
      </c>
      <c r="E20" s="4">
        <v>2</v>
      </c>
      <c r="F20" s="2" t="s">
        <v>15</v>
      </c>
      <c r="G20" s="4">
        <v>4</v>
      </c>
      <c r="H20" s="4">
        <v>2</v>
      </c>
      <c r="I20" s="4">
        <v>6</v>
      </c>
      <c r="J20" s="2" t="s">
        <v>128</v>
      </c>
      <c r="K20" s="2" t="s">
        <v>129</v>
      </c>
    </row>
    <row r="21" spans="1:11">
      <c r="A21" s="2" t="s">
        <v>76</v>
      </c>
      <c r="B21" s="2" t="s">
        <v>126</v>
      </c>
      <c r="C21" s="2" t="s">
        <v>127</v>
      </c>
      <c r="D21" s="2" t="s">
        <v>43</v>
      </c>
      <c r="E21" s="4">
        <v>1.5</v>
      </c>
      <c r="F21" s="2" t="s">
        <v>15</v>
      </c>
      <c r="G21" s="4">
        <v>4</v>
      </c>
      <c r="H21" s="4">
        <v>2</v>
      </c>
      <c r="I21" s="4">
        <v>6</v>
      </c>
      <c r="J21" s="2" t="s">
        <v>128</v>
      </c>
      <c r="K21" s="2" t="s">
        <v>129</v>
      </c>
    </row>
    <row r="22" spans="1:11">
      <c r="A22" s="2" t="s">
        <v>76</v>
      </c>
      <c r="B22" s="2" t="s">
        <v>126</v>
      </c>
      <c r="C22" s="2" t="s">
        <v>127</v>
      </c>
      <c r="D22" s="2" t="s">
        <v>95</v>
      </c>
      <c r="E22" s="4">
        <v>2</v>
      </c>
      <c r="F22" s="2" t="s">
        <v>15</v>
      </c>
      <c r="G22" s="4">
        <v>4</v>
      </c>
      <c r="H22" s="4">
        <v>2</v>
      </c>
      <c r="I22" s="4">
        <v>6</v>
      </c>
      <c r="J22" s="2" t="s">
        <v>128</v>
      </c>
      <c r="K22" s="2" t="s">
        <v>129</v>
      </c>
    </row>
    <row r="23" spans="1:11">
      <c r="A23" s="2" t="s">
        <v>76</v>
      </c>
      <c r="B23" s="2" t="s">
        <v>126</v>
      </c>
      <c r="C23" s="2" t="s">
        <v>127</v>
      </c>
      <c r="D23" s="2" t="s">
        <v>93</v>
      </c>
      <c r="E23" s="4">
        <v>3</v>
      </c>
      <c r="F23" s="2" t="s">
        <v>15</v>
      </c>
      <c r="G23" s="4">
        <v>4</v>
      </c>
      <c r="H23" s="4">
        <v>2</v>
      </c>
      <c r="I23" s="4">
        <v>6</v>
      </c>
      <c r="J23" s="2" t="s">
        <v>128</v>
      </c>
      <c r="K23" s="2" t="s">
        <v>129</v>
      </c>
    </row>
    <row r="24" spans="1:11">
      <c r="A24" s="2" t="s">
        <v>76</v>
      </c>
      <c r="B24" s="2" t="s">
        <v>126</v>
      </c>
      <c r="C24" s="2" t="s">
        <v>127</v>
      </c>
      <c r="D24" s="2" t="s">
        <v>46</v>
      </c>
      <c r="E24" s="4">
        <v>2</v>
      </c>
      <c r="F24" s="2" t="s">
        <v>41</v>
      </c>
      <c r="G24" s="4">
        <v>4</v>
      </c>
      <c r="H24" s="4">
        <v>2</v>
      </c>
      <c r="I24" s="4">
        <v>6</v>
      </c>
      <c r="J24" s="2" t="s">
        <v>128</v>
      </c>
      <c r="K24" s="2" t="s">
        <v>129</v>
      </c>
    </row>
    <row r="25" spans="1:11">
      <c r="A25" s="2" t="s">
        <v>76</v>
      </c>
      <c r="B25" s="2" t="s">
        <v>126</v>
      </c>
      <c r="C25" s="2" t="s">
        <v>127</v>
      </c>
      <c r="D25" s="2" t="s">
        <v>49</v>
      </c>
      <c r="E25" s="4">
        <v>2</v>
      </c>
      <c r="F25" s="2" t="s">
        <v>41</v>
      </c>
      <c r="G25" s="4">
        <v>4</v>
      </c>
      <c r="H25" s="4">
        <v>2</v>
      </c>
      <c r="I25" s="4">
        <v>6</v>
      </c>
      <c r="J25" s="2" t="s">
        <v>128</v>
      </c>
      <c r="K25" s="2" t="s">
        <v>129</v>
      </c>
    </row>
    <row r="26" spans="1:11">
      <c r="A26" s="2" t="s">
        <v>76</v>
      </c>
      <c r="B26" s="2" t="s">
        <v>126</v>
      </c>
      <c r="C26" s="2" t="s">
        <v>127</v>
      </c>
      <c r="D26" s="2" t="s">
        <v>86</v>
      </c>
      <c r="E26" s="4">
        <v>0.15</v>
      </c>
      <c r="F26" s="2" t="s">
        <v>15</v>
      </c>
      <c r="G26" s="4">
        <v>4</v>
      </c>
      <c r="H26" s="4">
        <v>2</v>
      </c>
      <c r="I26" s="4">
        <v>6</v>
      </c>
      <c r="J26" s="2" t="s">
        <v>128</v>
      </c>
      <c r="K26" s="2" t="s">
        <v>129</v>
      </c>
    </row>
  </sheetData>
  <mergeCells count="2">
    <mergeCell ref="A2:K2"/>
    <mergeCell ref="A1:K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
  <sheetViews>
    <sheetView workbookViewId="0">
      <pane ySplit="4" topLeftCell="A5" activePane="bottomLeft" state="frozen"/>
      <selection pane="bottomLeft"/>
    </sheetView>
  </sheetViews>
  <sheetFormatPr defaultRowHeight="15"/>
  <cols>
    <col min="1" max="1" width="26" customWidth="1"/>
    <col min="2" max="2" width="16" customWidth="1"/>
    <col min="3" max="3" width="32" customWidth="1"/>
    <col min="4" max="4" width="96" customWidth="1"/>
  </cols>
  <sheetData>
    <row r="1" spans="1:4" ht="26.1" customHeight="1">
      <c r="A1" s="8" t="s">
        <v>130</v>
      </c>
      <c r="B1" s="51"/>
      <c r="C1" s="51"/>
      <c r="D1" s="51"/>
    </row>
    <row r="2" spans="1:4">
      <c r="A2" s="7" t="s">
        <v>131</v>
      </c>
      <c r="B2" s="51"/>
      <c r="C2" s="51"/>
      <c r="D2" s="51"/>
    </row>
    <row r="4" spans="1:4">
      <c r="A4" s="1" t="s">
        <v>132</v>
      </c>
      <c r="B4" s="1" t="s">
        <v>133</v>
      </c>
      <c r="C4" s="1" t="s">
        <v>4</v>
      </c>
      <c r="D4" s="1" t="s">
        <v>134</v>
      </c>
    </row>
    <row r="5" spans="1:4" ht="30" customHeight="1">
      <c r="A5" s="2" t="s">
        <v>135</v>
      </c>
      <c r="B5" s="5" t="s">
        <v>136</v>
      </c>
      <c r="C5" s="2" t="s">
        <v>137</v>
      </c>
      <c r="D5" s="6" t="s">
        <v>138</v>
      </c>
    </row>
    <row r="6" spans="1:4">
      <c r="A6" s="2" t="s">
        <v>139</v>
      </c>
      <c r="B6" s="3">
        <v>0.66</v>
      </c>
      <c r="C6" s="2" t="s">
        <v>15</v>
      </c>
      <c r="D6" s="6" t="s">
        <v>140</v>
      </c>
    </row>
    <row r="7" spans="1:4">
      <c r="A7" s="2" t="s">
        <v>141</v>
      </c>
      <c r="B7" s="3">
        <v>19</v>
      </c>
      <c r="C7" s="2" t="s">
        <v>142</v>
      </c>
      <c r="D7" s="6" t="s">
        <v>143</v>
      </c>
    </row>
    <row r="8" spans="1:4">
      <c r="A8" s="2" t="s">
        <v>144</v>
      </c>
      <c r="B8" s="3">
        <v>4</v>
      </c>
      <c r="C8" s="2" t="s">
        <v>142</v>
      </c>
      <c r="D8" s="6" t="s">
        <v>145</v>
      </c>
    </row>
    <row r="9" spans="1:4">
      <c r="A9" s="2" t="s">
        <v>146</v>
      </c>
      <c r="B9" s="3">
        <v>3</v>
      </c>
      <c r="C9" s="2" t="s">
        <v>147</v>
      </c>
      <c r="D9" s="6" t="s">
        <v>148</v>
      </c>
    </row>
    <row r="10" spans="1:4">
      <c r="A10" s="2" t="s">
        <v>149</v>
      </c>
      <c r="B10" s="3">
        <v>3</v>
      </c>
      <c r="C10" s="2" t="s">
        <v>150</v>
      </c>
      <c r="D10" s="6" t="s">
        <v>151</v>
      </c>
    </row>
  </sheetData>
  <mergeCells count="2">
    <mergeCell ref="A1:D1"/>
    <mergeCell ref="A2:D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0"/>
  <sheetViews>
    <sheetView workbookViewId="0">
      <pane ySplit="4" topLeftCell="A5" activePane="bottomLeft" state="frozen"/>
      <selection pane="bottomLeft"/>
    </sheetView>
  </sheetViews>
  <sheetFormatPr defaultRowHeight="15"/>
  <cols>
    <col min="1" max="1" width="22" customWidth="1"/>
    <col min="2" max="2" width="116" customWidth="1"/>
  </cols>
  <sheetData>
    <row r="1" spans="1:2" ht="26.1" customHeight="1">
      <c r="A1" s="8" t="s">
        <v>152</v>
      </c>
      <c r="B1" s="51"/>
    </row>
    <row r="2" spans="1:2">
      <c r="A2" s="7" t="s">
        <v>153</v>
      </c>
      <c r="B2" s="51"/>
    </row>
    <row r="4" spans="1:2">
      <c r="A4" s="1" t="s">
        <v>154</v>
      </c>
      <c r="B4" s="1" t="s">
        <v>112</v>
      </c>
    </row>
    <row r="5" spans="1:2">
      <c r="A5" s="2" t="s">
        <v>155</v>
      </c>
      <c r="B5" s="6" t="s">
        <v>156</v>
      </c>
    </row>
    <row r="6" spans="1:2">
      <c r="A6" s="2" t="s">
        <v>157</v>
      </c>
      <c r="B6" s="6" t="s">
        <v>158</v>
      </c>
    </row>
    <row r="7" spans="1:2">
      <c r="A7" s="2" t="s">
        <v>159</v>
      </c>
      <c r="B7" s="6" t="s">
        <v>160</v>
      </c>
    </row>
    <row r="8" spans="1:2">
      <c r="A8" s="2" t="s">
        <v>161</v>
      </c>
      <c r="B8" s="6" t="s">
        <v>162</v>
      </c>
    </row>
    <row r="9" spans="1:2">
      <c r="A9" s="2" t="s">
        <v>163</v>
      </c>
      <c r="B9" s="6" t="s">
        <v>164</v>
      </c>
    </row>
    <row r="10" spans="1:2">
      <c r="A10" s="2" t="s">
        <v>165</v>
      </c>
      <c r="B10" s="6" t="s">
        <v>166</v>
      </c>
    </row>
    <row r="11" spans="1:2">
      <c r="A11" s="2" t="s">
        <v>167</v>
      </c>
      <c r="B11" s="6" t="s">
        <v>168</v>
      </c>
    </row>
    <row r="12" spans="1:2">
      <c r="A12" s="2" t="s">
        <v>106</v>
      </c>
      <c r="B12" s="6" t="s">
        <v>169</v>
      </c>
    </row>
    <row r="13" spans="1:2">
      <c r="A13" s="2" t="s">
        <v>135</v>
      </c>
      <c r="B13" s="6" t="s">
        <v>170</v>
      </c>
    </row>
    <row r="14" spans="1:2">
      <c r="A14" s="2" t="s">
        <v>171</v>
      </c>
      <c r="B14" s="6" t="s">
        <v>172</v>
      </c>
    </row>
    <row r="15" spans="1:2">
      <c r="A15" s="2" t="s">
        <v>173</v>
      </c>
      <c r="B15" s="6" t="s">
        <v>174</v>
      </c>
    </row>
    <row r="16" spans="1:2">
      <c r="A16" s="2" t="s">
        <v>175</v>
      </c>
      <c r="B16" s="6" t="s">
        <v>176</v>
      </c>
    </row>
    <row r="17" spans="1:2">
      <c r="A17" s="2" t="s">
        <v>177</v>
      </c>
      <c r="B17" s="6" t="s">
        <v>178</v>
      </c>
    </row>
    <row r="18" spans="1:2">
      <c r="A18" s="2" t="s">
        <v>179</v>
      </c>
      <c r="B18" s="6" t="s">
        <v>180</v>
      </c>
    </row>
    <row r="19" spans="1:2">
      <c r="A19" s="2" t="s">
        <v>179</v>
      </c>
      <c r="B19" s="6" t="s">
        <v>181</v>
      </c>
    </row>
    <row r="20" spans="1:2">
      <c r="A20" s="2" t="s">
        <v>182</v>
      </c>
      <c r="B20" s="6" t="s">
        <v>183</v>
      </c>
    </row>
  </sheetData>
  <mergeCells count="2">
    <mergeCell ref="A2:B2"/>
    <mergeCell ref="A1:B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9A00B-2887-410C-BC33-58A07753876C}">
  <dimension ref="A1:S62"/>
  <sheetViews>
    <sheetView tabSelected="1" workbookViewId="0">
      <selection sqref="A1:S1"/>
    </sheetView>
  </sheetViews>
  <sheetFormatPr defaultRowHeight="15"/>
  <cols>
    <col min="1" max="1" width="22.85546875" customWidth="1"/>
    <col min="2" max="2" width="38.140625" customWidth="1"/>
    <col min="3" max="3" width="16.7109375" customWidth="1"/>
    <col min="4" max="5" width="15.5703125" customWidth="1"/>
    <col min="6" max="6" width="16.7109375" customWidth="1"/>
    <col min="7" max="9" width="15.5703125" customWidth="1"/>
    <col min="10" max="10" width="14.28515625" customWidth="1"/>
    <col min="11" max="12" width="16.7109375" customWidth="1"/>
    <col min="13" max="13" width="15.5703125" customWidth="1"/>
    <col min="14" max="15" width="16.7109375" customWidth="1"/>
    <col min="16" max="19" width="14.28515625" customWidth="1"/>
  </cols>
  <sheetData>
    <row r="1" spans="1:19" ht="23.25">
      <c r="A1" s="9" t="s">
        <v>184</v>
      </c>
      <c r="B1" s="51"/>
      <c r="C1" s="51"/>
      <c r="D1" s="51"/>
      <c r="E1" s="51"/>
      <c r="F1" s="51"/>
      <c r="G1" s="51"/>
      <c r="H1" s="51"/>
      <c r="I1" s="51"/>
      <c r="J1" s="51"/>
      <c r="K1" s="51"/>
      <c r="L1" s="51"/>
      <c r="M1" s="51"/>
      <c r="N1" s="51"/>
      <c r="O1" s="51"/>
      <c r="P1" s="51"/>
      <c r="Q1" s="51"/>
      <c r="R1" s="51"/>
      <c r="S1" s="51"/>
    </row>
    <row r="2" spans="1:19">
      <c r="A2" s="10" t="s">
        <v>185</v>
      </c>
      <c r="B2" s="12"/>
      <c r="C2" s="12"/>
      <c r="D2" s="12"/>
      <c r="E2" s="12"/>
      <c r="F2" s="12"/>
      <c r="G2" s="12"/>
      <c r="H2" s="12"/>
      <c r="I2" s="12"/>
      <c r="J2" s="12"/>
      <c r="K2" s="12"/>
      <c r="L2" s="12"/>
      <c r="M2" s="12"/>
      <c r="N2" s="12"/>
      <c r="O2" s="12"/>
      <c r="P2" s="12"/>
      <c r="Q2" s="12"/>
      <c r="R2" s="12"/>
      <c r="S2" s="12"/>
    </row>
    <row r="4" spans="1:19">
      <c r="A4" s="52" t="s">
        <v>186</v>
      </c>
      <c r="B4" s="51"/>
      <c r="C4" s="51"/>
      <c r="D4" s="51"/>
      <c r="E4" s="51"/>
      <c r="F4" s="51"/>
    </row>
    <row r="5" spans="1:19" ht="30.75">
      <c r="A5" s="14" t="s">
        <v>132</v>
      </c>
      <c r="B5" s="14" t="s">
        <v>133</v>
      </c>
      <c r="C5" s="14" t="s">
        <v>187</v>
      </c>
      <c r="D5" s="14" t="s">
        <v>134</v>
      </c>
      <c r="F5" s="14" t="s">
        <v>188</v>
      </c>
      <c r="G5" s="14"/>
    </row>
    <row r="6" spans="1:19" ht="60.75">
      <c r="A6" s="15" t="s">
        <v>135</v>
      </c>
      <c r="B6" s="15" t="str">
        <f>'Ev Notları'!B5</f>
        <v>Pazar perakende</v>
      </c>
      <c r="C6" s="15" t="s">
        <v>137</v>
      </c>
      <c r="D6" s="16" t="str">
        <f>'Ev Notları'!D5</f>
        <v>Malzeme Fiyatları sayfasındaki hangi fiyat sütununun kullanılacağını seçer. Değiştirdiğinizde bütün karne yeniden hesaplanır.</v>
      </c>
      <c r="F6" t="s">
        <v>135</v>
      </c>
      <c r="G6" t="str">
        <f>B6</f>
        <v>Pazar perakende</v>
      </c>
    </row>
    <row r="7" spans="1:19" ht="30.75">
      <c r="A7" s="15" t="s">
        <v>139</v>
      </c>
      <c r="B7" s="17">
        <f>'Ev Notları'!B6</f>
        <v>0.66</v>
      </c>
      <c r="C7" s="15" t="str">
        <f>'Ev Notları'!C6</f>
        <v>kg</v>
      </c>
      <c r="D7" s="16" t="str">
        <f>'Ev Notları'!D6</f>
        <v>660 cc kavanozun dolum ağırlığı. Ev yapımı ile hazır ürünün karşılaştırıldığı ortak birim.</v>
      </c>
      <c r="F7" t="s">
        <v>189</v>
      </c>
      <c r="G7" s="11">
        <f>B7</f>
        <v>0.66</v>
      </c>
    </row>
    <row r="8" spans="1:19" ht="30.75">
      <c r="A8" s="15" t="s">
        <v>141</v>
      </c>
      <c r="B8" s="17">
        <f>'Ev Notları'!B7</f>
        <v>19</v>
      </c>
      <c r="C8" s="15" t="str">
        <f>'Ev Notları'!C7</f>
        <v>TL/adet</v>
      </c>
      <c r="D8" s="16" t="str">
        <f>'Ev Notları'!D7</f>
        <v>660 cc kapaklı kavanoz. Dolapta biriken kavanozu kullanıyorsanız sıfır yazın.</v>
      </c>
      <c r="F8" t="s">
        <v>190</v>
      </c>
      <c r="G8" s="11">
        <f>B8</f>
        <v>19</v>
      </c>
    </row>
    <row r="9" spans="1:19" ht="30.75">
      <c r="A9" s="15" t="s">
        <v>144</v>
      </c>
      <c r="B9" s="17">
        <f>'Ev Notları'!B8</f>
        <v>4</v>
      </c>
      <c r="C9" s="15" t="str">
        <f>'Ev Notları'!C8</f>
        <v>TL/adet</v>
      </c>
      <c r="D9" s="16" t="str">
        <f>'Ev Notları'!D8</f>
        <v>Kavanoz saklansa bile kapak yenilenir. On'lu paketin adet fiyatı.</v>
      </c>
      <c r="F9" t="s">
        <v>191</v>
      </c>
      <c r="G9" s="11">
        <f>B9</f>
        <v>4</v>
      </c>
    </row>
    <row r="10" spans="1:19" ht="30.75">
      <c r="A10" s="15" t="s">
        <v>146</v>
      </c>
      <c r="B10" s="17">
        <f>'Ev Notları'!B9</f>
        <v>3</v>
      </c>
      <c r="C10" s="15" t="str">
        <f>'Ev Notları'!C9</f>
        <v>kW</v>
      </c>
      <c r="D10" s="16" t="str">
        <f>'Ev Notları'!D9</f>
        <v>Enerji maliyeti saat × güç × birim fiyat olarak hesaplanır.</v>
      </c>
      <c r="F10" t="s">
        <v>192</v>
      </c>
      <c r="G10" s="11">
        <f>B10</f>
        <v>3</v>
      </c>
    </row>
    <row r="11" spans="1:19" ht="45.75">
      <c r="A11" s="15" t="s">
        <v>149</v>
      </c>
      <c r="B11" s="17">
        <f>'Ev Notları'!B10</f>
        <v>3</v>
      </c>
      <c r="C11" s="15" t="str">
        <f>'Ev Notları'!C10</f>
        <v>TL/kWh</v>
      </c>
      <c r="D11" s="16" t="str">
        <f>'Ev Notları'!D10</f>
        <v>Kendi faturanızdaki birim fiyatı yazın. Tüple pişiriyorsanız 12 kg tüp yaklaşık 155 kWh eder.</v>
      </c>
      <c r="F11" t="s">
        <v>193</v>
      </c>
      <c r="G11" s="11">
        <f>B11</f>
        <v>3</v>
      </c>
    </row>
    <row r="13" spans="1:19">
      <c r="A13" s="52" t="s">
        <v>194</v>
      </c>
      <c r="B13" s="51"/>
      <c r="C13" s="51"/>
      <c r="D13" s="51"/>
      <c r="E13" s="51"/>
      <c r="F13" s="51"/>
      <c r="G13" s="51"/>
      <c r="H13" s="51"/>
      <c r="I13" s="51"/>
      <c r="J13" s="51"/>
      <c r="K13" s="51"/>
      <c r="L13" s="51"/>
      <c r="M13" s="51"/>
      <c r="N13" s="51"/>
      <c r="O13" s="51"/>
      <c r="P13" s="51"/>
      <c r="Q13" s="51"/>
      <c r="R13" s="51"/>
      <c r="S13" s="51"/>
    </row>
    <row r="14" spans="1:19">
      <c r="A14" s="13" t="s">
        <v>195</v>
      </c>
      <c r="B14" s="12"/>
      <c r="C14" s="12"/>
      <c r="D14" s="12"/>
      <c r="E14" s="12"/>
      <c r="F14" s="12"/>
      <c r="G14" s="12"/>
      <c r="H14" s="12"/>
      <c r="I14" s="12"/>
      <c r="J14" s="12"/>
      <c r="K14" s="12"/>
      <c r="L14" s="12"/>
      <c r="M14" s="12"/>
      <c r="N14" s="12"/>
      <c r="O14" s="12"/>
      <c r="P14" s="12"/>
      <c r="Q14" s="12"/>
      <c r="R14" s="12"/>
      <c r="S14" s="12"/>
    </row>
    <row r="15" spans="1:19">
      <c r="A15" s="51"/>
      <c r="B15" s="51"/>
      <c r="C15" s="51"/>
      <c r="D15" s="51"/>
      <c r="E15" s="51"/>
      <c r="F15" s="51"/>
      <c r="G15" s="51"/>
      <c r="H15" s="51"/>
      <c r="I15" s="51"/>
      <c r="J15" s="51"/>
      <c r="K15" s="51"/>
      <c r="L15" s="51"/>
      <c r="M15" s="51"/>
      <c r="N15" s="51"/>
      <c r="O15" s="51"/>
      <c r="P15" s="51"/>
      <c r="Q15" s="51"/>
      <c r="R15" s="51"/>
      <c r="S15" s="51"/>
    </row>
    <row r="17" spans="1:19">
      <c r="A17" s="52" t="s">
        <v>196</v>
      </c>
      <c r="B17" s="51"/>
      <c r="C17" s="51"/>
      <c r="D17" s="51"/>
      <c r="E17" s="51"/>
      <c r="F17" s="51"/>
      <c r="G17" s="51"/>
      <c r="H17" s="51"/>
      <c r="I17" s="51"/>
      <c r="J17" s="51"/>
      <c r="K17" s="51"/>
      <c r="L17" s="51"/>
      <c r="M17" s="51"/>
      <c r="N17" s="51"/>
      <c r="O17" s="51"/>
      <c r="P17" s="51"/>
      <c r="Q17" s="51"/>
      <c r="R17" s="51"/>
      <c r="S17" s="51"/>
    </row>
    <row r="18" spans="1:19" ht="30.75">
      <c r="A18" s="14" t="s">
        <v>104</v>
      </c>
      <c r="B18" s="14" t="s">
        <v>106</v>
      </c>
      <c r="C18" s="14" t="s">
        <v>197</v>
      </c>
      <c r="D18" s="14" t="s">
        <v>198</v>
      </c>
      <c r="E18" s="14" t="s">
        <v>199</v>
      </c>
      <c r="F18" s="14" t="s">
        <v>200</v>
      </c>
      <c r="G18" s="14" t="s">
        <v>201</v>
      </c>
      <c r="H18" s="14" t="s">
        <v>202</v>
      </c>
      <c r="I18" s="14" t="s">
        <v>203</v>
      </c>
      <c r="J18" s="14" t="s">
        <v>204</v>
      </c>
      <c r="K18" s="14" t="s">
        <v>205</v>
      </c>
      <c r="L18" s="14" t="s">
        <v>206</v>
      </c>
      <c r="M18" s="14" t="s">
        <v>207</v>
      </c>
      <c r="N18" s="14" t="s">
        <v>208</v>
      </c>
      <c r="O18" s="14" t="s">
        <v>209</v>
      </c>
      <c r="P18" s="14" t="s">
        <v>210</v>
      </c>
      <c r="Q18" s="14" t="s">
        <v>211</v>
      </c>
      <c r="R18" s="14" t="s">
        <v>212</v>
      </c>
      <c r="S18" s="14" t="s">
        <v>213</v>
      </c>
    </row>
    <row r="19" spans="1:19">
      <c r="A19" s="18" t="s">
        <v>63</v>
      </c>
      <c r="B19" s="18" t="str" cm="1">
        <f t="array" ref="B19">INDEX(_xlfn._xlws.FILTER('Tarifler ve Verim'!$C$5:$C$26,'Tarifler ve Verim'!$A$5:$A$26=$A19),1)</f>
        <v>Kavanoz</v>
      </c>
      <c r="C19" s="20" cm="1">
        <f t="array" ref="C19">_xlfn.LET(_xlpm.ürün,$A19,_xlpm.girdi,_xlfn._xlws.FILTER('Tarifler ve Verim'!$D$5:$D$26,'Tarifler ve Verim'!$A$5:$A$26=_xlpm.ürün),_xlpm.miktar,_xlfn._xlws.FILTER('Tarifler ve Verim'!$E$5:$E$26,'Tarifler ve Verim'!$A$5:$A$26=_xlpm.ürün),_xlpm.kaynak,$B$6,_xlpm.fiyat,_xlfn.IFNA(_xlfn.XLOOKUP(_xlpm.girdi,'Malzeme Fiyatları'!$A$5:$A$17,CHOOSE(MATCH(_xlpm.kaynak,{"Hal ortalaması","Pazar kasa","Pazar perakende","Market"},0),'Malzeme Fiyatları'!$D$5:$D$17,'Malzeme Fiyatları'!$E$5:$E$17,'Malzeme Fiyatları'!$F$5:$F$17,'Malzeme Fiyatları'!$G$5:$G$17)),0),SUMPRODUCT(_xlpm.miktar,_xlpm.fiyat))</f>
        <v>250</v>
      </c>
      <c r="D19" s="20" cm="1">
        <f t="array" ref="D19">_xlfn.LET(_xlpm.ürün,$A19,_xlpm.girdi,_xlfn._xlws.FILTER('Tarifler ve Verim'!$D$5:$D$26,'Tarifler ve Verim'!$A$5:$A$26=_xlpm.ürün),_xlpm.miktar,_xlfn._xlws.FILTER('Tarifler ve Verim'!$E$5:$E$26,'Tarifler ve Verim'!$A$5:$A$26=_xlpm.ürün),_xlpm.sarf,_xlfn.IFNA(_xlfn.XLOOKUP(_xlpm.girdi,'Sarf ve Ambalaj'!$A$5:$A$12,'Sarf ve Ambalaj'!$F$5:$F$12),0),_xlpm.ambalaj,IF($B19="Kavanoz",$H19*($B$8+$B$9),0),SUMPRODUCT(_xlpm.miktar,_xlpm.sarf)+_xlpm.ambalaj)</f>
        <v>45.81818181818182</v>
      </c>
      <c r="E19" s="20">
        <f>Q19*$B$10*$B$11</f>
        <v>27</v>
      </c>
      <c r="F19" s="20">
        <f>C19+D19+E19</f>
        <v>322.81818181818181</v>
      </c>
      <c r="G19" s="21" cm="1">
        <f t="array" ref="G19">INDEX(_xlfn._xlws.FILTER('Tarifler ve Verim'!$G$5:$G$26,'Tarifler ve Verim'!$A$5:$A$26=$A19),1)</f>
        <v>1.2</v>
      </c>
      <c r="H19" s="21">
        <f>G19/$B$7</f>
        <v>1.8181818181818181</v>
      </c>
      <c r="I19" s="20">
        <f>F19/H19</f>
        <v>177.55</v>
      </c>
      <c r="J19" s="20">
        <f>_xlfn.MINIFS('Market Rafı'!$E$5:$E$14,'Market Rafı'!$A$5:$A$14,$A19)*$B$7</f>
        <v>44.490600000000001</v>
      </c>
      <c r="K19" s="20">
        <f>_xlfn.MAXIFS('Market Rafı'!$E$5:$E$14,'Market Rafı'!$A$5:$A$14,$A19)*$B$7</f>
        <v>128.24460000000002</v>
      </c>
      <c r="L19" s="20">
        <f>I19-J19</f>
        <v>133.05940000000001</v>
      </c>
      <c r="M19" s="22">
        <f>L19/J19</f>
        <v>2.9907306262446451</v>
      </c>
      <c r="N19" s="20">
        <f>I19-K19</f>
        <v>49.305399999999992</v>
      </c>
      <c r="O19" s="22">
        <f>N19/K19</f>
        <v>0.38446375130024957</v>
      </c>
      <c r="P19" s="21" cm="1">
        <f t="array" ref="P19">INDEX(_xlfn._xlws.FILTER('Tarifler ve Verim'!$I$5:$I$26,'Tarifler ve Verim'!$A$5:$A$26=$A19),1)</f>
        <v>3</v>
      </c>
      <c r="Q19" s="21" cm="1">
        <f t="array" ref="Q19">INDEX(_xlfn._xlws.FILTER('Tarifler ve Verim'!$H$5:$H$26,'Tarifler ve Verim'!$A$5:$A$26=$A19),1)</f>
        <v>3</v>
      </c>
      <c r="R19" s="26" t="str">
        <f>IF(L19&lt;0,"Ev daha ucuz","Hazır daha ucuz")</f>
        <v>Hazır daha ucuz</v>
      </c>
      <c r="S19" s="26" t="str">
        <f>IF(N19&lt;0,"Ev daha ucuz","Hazır daha ucuz")</f>
        <v>Hazır daha ucuz</v>
      </c>
    </row>
    <row r="20" spans="1:19">
      <c r="A20" s="19" t="s">
        <v>67</v>
      </c>
      <c r="B20" s="19" t="str" cm="1">
        <f t="array" ref="B20">INDEX(_xlfn._xlws.FILTER('Tarifler ve Verim'!$C$5:$C$26,'Tarifler ve Verim'!$A$5:$A$26=$A20),1)</f>
        <v>Kavanoz</v>
      </c>
      <c r="C20" s="23" cm="1">
        <f t="array" ref="C20">_xlfn.LET(_xlpm.ürün,$A20,_xlpm.girdi,_xlfn._xlws.FILTER('Tarifler ve Verim'!$D$5:$D$26,'Tarifler ve Verim'!$A$5:$A$26=_xlpm.ürün),_xlpm.miktar,_xlfn._xlws.FILTER('Tarifler ve Verim'!$E$5:$E$26,'Tarifler ve Verim'!$A$5:$A$26=_xlpm.ürün),_xlpm.kaynak,$B$6,_xlpm.fiyat,_xlfn.IFNA(_xlfn.XLOOKUP(_xlpm.girdi,'Malzeme Fiyatları'!$A$5:$A$17,CHOOSE(MATCH(_xlpm.kaynak,{"Hal ortalaması","Pazar kasa","Pazar perakende","Market"},0),'Malzeme Fiyatları'!$D$5:$D$17,'Malzeme Fiyatları'!$E$5:$E$17,'Malzeme Fiyatları'!$F$5:$F$17,'Malzeme Fiyatları'!$G$5:$G$17)),0),SUMPRODUCT(_xlpm.miktar,_xlpm.fiyat))</f>
        <v>750</v>
      </c>
      <c r="D20" s="23" cm="1">
        <f t="array" ref="D20">_xlfn.LET(_xlpm.ürün,$A20,_xlpm.girdi,_xlfn._xlws.FILTER('Tarifler ve Verim'!$D$5:$D$26,'Tarifler ve Verim'!$A$5:$A$26=_xlpm.ürün),_xlpm.miktar,_xlfn._xlws.FILTER('Tarifler ve Verim'!$E$5:$E$26,'Tarifler ve Verim'!$A$5:$A$26=_xlpm.ürün),_xlpm.sarf,_xlfn.IFNA(_xlfn.XLOOKUP(_xlpm.girdi,'Sarf ve Ambalaj'!$A$5:$A$12,'Sarf ve Ambalaj'!$F$5:$F$12),0),_xlpm.ambalaj,IF($B20="Kavanoz",$H20*($B$8+$B$9),0),SUMPRODUCT(_xlpm.miktar,_xlpm.sarf)+_xlpm.ambalaj)</f>
        <v>74.4969696969697</v>
      </c>
      <c r="E20" s="23">
        <f>Q20*$B$10*$B$11</f>
        <v>22.5</v>
      </c>
      <c r="F20" s="23">
        <f>C20+D20+E20</f>
        <v>846.9969696969697</v>
      </c>
      <c r="G20" s="24" cm="1">
        <f t="array" ref="G20">INDEX(_xlfn._xlws.FILTER('Tarifler ve Verim'!$G$5:$G$26,'Tarifler ve Verim'!$A$5:$A$26=$A20),1)</f>
        <v>2</v>
      </c>
      <c r="H20" s="24">
        <f>G20/$B$7</f>
        <v>3.0303030303030303</v>
      </c>
      <c r="I20" s="23">
        <f>F20/H20</f>
        <v>279.50900000000001</v>
      </c>
      <c r="J20" s="23">
        <f>_xlfn.MINIFS('Market Rafı'!$E$5:$E$14,'Market Rafı'!$A$5:$A$14,$A20)*$B$7</f>
        <v>75.378600000000006</v>
      </c>
      <c r="K20" s="23">
        <f>_xlfn.MAXIFS('Market Rafı'!$E$5:$E$14,'Market Rafı'!$A$5:$A$14,$A20)*$B$7</f>
        <v>179.94239999999999</v>
      </c>
      <c r="L20" s="23">
        <f>I20-J20</f>
        <v>204.13040000000001</v>
      </c>
      <c r="M20" s="25">
        <f>L20/J20</f>
        <v>2.7080683376979673</v>
      </c>
      <c r="N20" s="23">
        <f>I20-K20</f>
        <v>99.566600000000022</v>
      </c>
      <c r="O20" s="25">
        <f>N20/K20</f>
        <v>0.55332484172713059</v>
      </c>
      <c r="P20" s="24" cm="1">
        <f t="array" ref="P20">INDEX(_xlfn._xlws.FILTER('Tarifler ve Verim'!$I$5:$I$26,'Tarifler ve Verim'!$A$5:$A$26=$A20),1)</f>
        <v>3.5</v>
      </c>
      <c r="Q20" s="24" cm="1">
        <f t="array" ref="Q20">INDEX(_xlfn._xlws.FILTER('Tarifler ve Verim'!$H$5:$H$26,'Tarifler ve Verim'!$A$5:$A$26=$A20),1)</f>
        <v>2.5</v>
      </c>
      <c r="R20" s="27" t="str">
        <f>IF(L20&lt;0,"Ev daha ucuz","Hazır daha ucuz")</f>
        <v>Hazır daha ucuz</v>
      </c>
      <c r="S20" s="27" t="str">
        <f>IF(N20&lt;0,"Ev daha ucuz","Hazır daha ucuz")</f>
        <v>Hazır daha ucuz</v>
      </c>
    </row>
    <row r="21" spans="1:19">
      <c r="A21" s="18" t="s">
        <v>70</v>
      </c>
      <c r="B21" s="18" t="str" cm="1">
        <f t="array" ref="B21">INDEX(_xlfn._xlws.FILTER('Tarifler ve Verim'!$C$5:$C$26,'Tarifler ve Verim'!$A$5:$A$26=$A21),1)</f>
        <v>Kavanoz</v>
      </c>
      <c r="C21" s="20" cm="1">
        <f t="array" ref="C21">_xlfn.LET(_xlpm.ürün,$A21,_xlpm.girdi,_xlfn._xlws.FILTER('Tarifler ve Verim'!$D$5:$D$26,'Tarifler ve Verim'!$A$5:$A$26=_xlpm.ürün),_xlpm.miktar,_xlfn._xlws.FILTER('Tarifler ve Verim'!$E$5:$E$26,'Tarifler ve Verim'!$A$5:$A$26=_xlpm.ürün),_xlpm.kaynak,$B$6,_xlpm.fiyat,_xlfn.IFNA(_xlfn.XLOOKUP(_xlpm.girdi,'Malzeme Fiyatları'!$A$5:$A$17,CHOOSE(MATCH(_xlpm.kaynak,{"Hal ortalaması","Pazar kasa","Pazar perakende","Market"},0),'Malzeme Fiyatları'!$D$5:$D$17,'Malzeme Fiyatları'!$E$5:$E$17,'Malzeme Fiyatları'!$F$5:$F$17,'Malzeme Fiyatları'!$G$5:$G$17)),0),SUMPRODUCT(_xlpm.miktar,_xlpm.fiyat))</f>
        <v>266.89999999999998</v>
      </c>
      <c r="D21" s="20" cm="1">
        <f t="array" ref="D21">_xlfn.LET(_xlpm.ürün,$A21,_xlpm.girdi,_xlfn._xlws.FILTER('Tarifler ve Verim'!$D$5:$D$26,'Tarifler ve Verim'!$A$5:$A$26=_xlpm.ürün),_xlpm.miktar,_xlfn._xlws.FILTER('Tarifler ve Verim'!$E$5:$E$26,'Tarifler ve Verim'!$A$5:$A$26=_xlpm.ürün),_xlpm.sarf,_xlfn.IFNA(_xlfn.XLOOKUP(_xlpm.girdi,'Sarf ve Ambalaj'!$A$5:$A$12,'Sarf ve Ambalaj'!$F$5:$F$12),0),_xlpm.ambalaj,IF($B21="Kavanoz",$H21*($B$8+$B$9),0),SUMPRODUCT(_xlpm.miktar,_xlpm.sarf)+_xlpm.ambalaj)</f>
        <v>285.93939393939394</v>
      </c>
      <c r="E21" s="20">
        <f>Q21*$B$10*$B$11</f>
        <v>4.5</v>
      </c>
      <c r="F21" s="20">
        <f>C21+D21+E21</f>
        <v>557.33939393939386</v>
      </c>
      <c r="G21" s="21" cm="1">
        <f t="array" ref="G21">INDEX(_xlfn._xlws.FILTER('Tarifler ve Verim'!$G$5:$G$26,'Tarifler ve Verim'!$A$5:$A$26=$A21),1)</f>
        <v>7</v>
      </c>
      <c r="H21" s="21">
        <f>G21/$B$7</f>
        <v>10.606060606060606</v>
      </c>
      <c r="I21" s="20">
        <f>F21/H21</f>
        <v>52.549142857142854</v>
      </c>
      <c r="J21" s="20">
        <f>_xlfn.MINIFS('Market Rafı'!$E$5:$E$14,'Market Rafı'!$A$5:$A$14,$A21)*$B$7</f>
        <v>67.478399999999993</v>
      </c>
      <c r="K21" s="20">
        <f>_xlfn.MAXIFS('Market Rafı'!$E$5:$E$14,'Market Rafı'!$A$5:$A$14,$A21)*$B$7</f>
        <v>106.7154</v>
      </c>
      <c r="L21" s="20">
        <f>I21-J21</f>
        <v>-14.929257142857139</v>
      </c>
      <c r="M21" s="22">
        <f>L21/J21</f>
        <v>-0.22124497828723177</v>
      </c>
      <c r="N21" s="20">
        <f>I21-K21</f>
        <v>-54.166257142857148</v>
      </c>
      <c r="O21" s="22">
        <f>N21/K21</f>
        <v>-0.50757676158133824</v>
      </c>
      <c r="P21" s="21" cm="1">
        <f t="array" ref="P21">INDEX(_xlfn._xlws.FILTER('Tarifler ve Verim'!$I$5:$I$26,'Tarifler ve Verim'!$A$5:$A$26=$A21),1)</f>
        <v>2</v>
      </c>
      <c r="Q21" s="21" cm="1">
        <f t="array" ref="Q21">INDEX(_xlfn._xlws.FILTER('Tarifler ve Verim'!$H$5:$H$26,'Tarifler ve Verim'!$A$5:$A$26=$A21),1)</f>
        <v>0.5</v>
      </c>
      <c r="R21" s="26" t="str">
        <f>IF(L21&lt;0,"Ev daha ucuz","Hazır daha ucuz")</f>
        <v>Ev daha ucuz</v>
      </c>
      <c r="S21" s="26" t="str">
        <f>IF(N21&lt;0,"Ev daha ucuz","Hazır daha ucuz")</f>
        <v>Ev daha ucuz</v>
      </c>
    </row>
    <row r="22" spans="1:19">
      <c r="A22" s="19" t="s">
        <v>73</v>
      </c>
      <c r="B22" s="19" t="str" cm="1">
        <f t="array" ref="B22">INDEX(_xlfn._xlws.FILTER('Tarifler ve Verim'!$C$5:$C$26,'Tarifler ve Verim'!$A$5:$A$26=$A22),1)</f>
        <v>Kavanoz</v>
      </c>
      <c r="C22" s="23" cm="1">
        <f t="array" ref="C22">_xlfn.LET(_xlpm.ürün,$A22,_xlpm.girdi,_xlfn._xlws.FILTER('Tarifler ve Verim'!$D$5:$D$26,'Tarifler ve Verim'!$A$5:$A$26=_xlpm.ürün),_xlpm.miktar,_xlfn._xlws.FILTER('Tarifler ve Verim'!$E$5:$E$26,'Tarifler ve Verim'!$A$5:$A$26=_xlpm.ürün),_xlpm.kaynak,$B$6,_xlpm.fiyat,_xlfn.IFNA(_xlfn.XLOOKUP(_xlpm.girdi,'Malzeme Fiyatları'!$A$5:$A$17,CHOOSE(MATCH(_xlpm.kaynak,{"Hal ortalaması","Pazar kasa","Pazar perakende","Market"},0),'Malzeme Fiyatları'!$D$5:$D$17,'Malzeme Fiyatları'!$E$5:$E$17,'Malzeme Fiyatları'!$F$5:$F$17,'Malzeme Fiyatları'!$G$5:$G$17)),0),SUMPRODUCT(_xlpm.miktar,_xlpm.fiyat))</f>
        <v>482</v>
      </c>
      <c r="D22" s="23" cm="1">
        <f t="array" ref="D22">_xlfn.LET(_xlpm.ürün,$A22,_xlpm.girdi,_xlfn._xlws.FILTER('Tarifler ve Verim'!$D$5:$D$26,'Tarifler ve Verim'!$A$5:$A$26=_xlpm.ürün),_xlpm.miktar,_xlfn._xlws.FILTER('Tarifler ve Verim'!$E$5:$E$26,'Tarifler ve Verim'!$A$5:$A$26=_xlpm.ürün),_xlpm.sarf,_xlfn.IFNA(_xlfn.XLOOKUP(_xlpm.girdi,'Sarf ve Ambalaj'!$A$5:$A$12,'Sarf ve Ambalaj'!$F$5:$F$12),0),_xlpm.ambalaj,IF($B22="Kavanoz",$H22*($B$8+$B$9),0),SUMPRODUCT(_xlpm.miktar,_xlpm.sarf)+_xlpm.ambalaj)</f>
        <v>307.18212121212122</v>
      </c>
      <c r="E22" s="23">
        <f>Q22*$B$10*$B$11</f>
        <v>13.5</v>
      </c>
      <c r="F22" s="23">
        <f>C22+D22+E22</f>
        <v>802.68212121212127</v>
      </c>
      <c r="G22" s="24" cm="1">
        <f t="array" ref="G22">INDEX(_xlfn._xlws.FILTER('Tarifler ve Verim'!$G$5:$G$26,'Tarifler ve Verim'!$A$5:$A$26=$A22),1)</f>
        <v>5.2</v>
      </c>
      <c r="H22" s="24">
        <f>G22/$B$7</f>
        <v>7.8787878787878789</v>
      </c>
      <c r="I22" s="23">
        <f>F22/H22</f>
        <v>101.87888461538462</v>
      </c>
      <c r="J22" s="23">
        <f>_xlfn.MINIFS('Market Rafı'!$E$5:$E$14,'Market Rafı'!$A$5:$A$14,$A22)*$B$7</f>
        <v>130.17840000000001</v>
      </c>
      <c r="K22" s="23">
        <f>_xlfn.MAXIFS('Market Rafı'!$E$5:$E$14,'Market Rafı'!$A$5:$A$14,$A22)*$B$7</f>
        <v>173.59979999999999</v>
      </c>
      <c r="L22" s="23">
        <f>I22-J22</f>
        <v>-28.29951538461539</v>
      </c>
      <c r="M22" s="25">
        <f>L22/J22</f>
        <v>-0.2173902535644576</v>
      </c>
      <c r="N22" s="23">
        <f>I22-K22</f>
        <v>-71.720915384615367</v>
      </c>
      <c r="O22" s="25">
        <f>N22/K22</f>
        <v>-0.41313938947288747</v>
      </c>
      <c r="P22" s="24" cm="1">
        <f t="array" ref="P22">INDEX(_xlfn._xlws.FILTER('Tarifler ve Verim'!$I$5:$I$26,'Tarifler ve Verim'!$A$5:$A$26=$A22),1)</f>
        <v>2</v>
      </c>
      <c r="Q22" s="24" cm="1">
        <f t="array" ref="Q22">INDEX(_xlfn._xlws.FILTER('Tarifler ve Verim'!$H$5:$H$26,'Tarifler ve Verim'!$A$5:$A$26=$A22),1)</f>
        <v>1.5</v>
      </c>
      <c r="R22" s="27" t="str">
        <f>IF(L22&lt;0,"Ev daha ucuz","Hazır daha ucuz")</f>
        <v>Ev daha ucuz</v>
      </c>
      <c r="S22" s="27" t="str">
        <f>IF(N22&lt;0,"Ev daha ucuz","Hazır daha ucuz")</f>
        <v>Ev daha ucuz</v>
      </c>
    </row>
    <row r="23" spans="1:19">
      <c r="A23" s="18" t="s">
        <v>76</v>
      </c>
      <c r="B23" s="18" t="str" cm="1">
        <f t="array" ref="B23">INDEX(_xlfn._xlws.FILTER('Tarifler ve Verim'!$C$5:$C$26,'Tarifler ve Verim'!$A$5:$A$26=$A23),1)</f>
        <v>Bez torba</v>
      </c>
      <c r="C23" s="20" cm="1">
        <f t="array" ref="C23">_xlfn.LET(_xlpm.ürün,$A23,_xlpm.girdi,_xlfn._xlws.FILTER('Tarifler ve Verim'!$D$5:$D$26,'Tarifler ve Verim'!$A$5:$A$26=_xlpm.ürün),_xlpm.miktar,_xlfn._xlws.FILTER('Tarifler ve Verim'!$E$5:$E$26,'Tarifler ve Verim'!$A$5:$A$26=_xlpm.ürün),_xlpm.kaynak,$B$6,_xlpm.fiyat,_xlfn.IFNA(_xlfn.XLOOKUP(_xlpm.girdi,'Malzeme Fiyatları'!$A$5:$A$17,CHOOSE(MATCH(_xlpm.kaynak,{"Hal ortalaması","Pazar kasa","Pazar perakende","Market"},0),'Malzeme Fiyatları'!$D$5:$D$17,'Malzeme Fiyatları'!$E$5:$E$17,'Malzeme Fiyatları'!$F$5:$F$17,'Malzeme Fiyatları'!$G$5:$G$17)),0),SUMPRODUCT(_xlpm.miktar,_xlpm.fiyat))</f>
        <v>507.5</v>
      </c>
      <c r="D23" s="20" cm="1">
        <f t="array" ref="D23">_xlfn.LET(_xlpm.ürün,$A23,_xlpm.girdi,_xlfn._xlws.FILTER('Tarifler ve Verim'!$D$5:$D$26,'Tarifler ve Verim'!$A$5:$A$26=_xlpm.ürün),_xlpm.miktar,_xlfn._xlws.FILTER('Tarifler ve Verim'!$E$5:$E$26,'Tarifler ve Verim'!$A$5:$A$26=_xlpm.ürün),_xlpm.sarf,_xlfn.IFNA(_xlfn.XLOOKUP(_xlpm.girdi,'Sarf ve Ambalaj'!$A$5:$A$12,'Sarf ve Ambalaj'!$F$5:$F$12),0),_xlpm.ambalaj,IF($B23="Kavanoz",$H23*($B$8+$B$9),0),SUMPRODUCT(_xlpm.miktar,_xlpm.sarf)+_xlpm.ambalaj)</f>
        <v>276</v>
      </c>
      <c r="E23" s="20">
        <f>Q23*$B$10*$B$11</f>
        <v>18</v>
      </c>
      <c r="F23" s="20">
        <f>C23+D23+E23</f>
        <v>801.5</v>
      </c>
      <c r="G23" s="21" cm="1">
        <f t="array" ref="G23">INDEX(_xlfn._xlws.FILTER('Tarifler ve Verim'!$G$5:$G$26,'Tarifler ve Verim'!$A$5:$A$26=$A23),1)</f>
        <v>4</v>
      </c>
      <c r="H23" s="21">
        <f>G23/$B$7</f>
        <v>6.0606060606060606</v>
      </c>
      <c r="I23" s="20">
        <f>F23/H23</f>
        <v>132.2475</v>
      </c>
      <c r="J23" s="20">
        <f>_xlfn.MINIFS('Market Rafı'!$E$5:$E$14,'Market Rafı'!$A$5:$A$14,$A23)*$B$7</f>
        <v>183.41399999999999</v>
      </c>
      <c r="K23" s="20">
        <f>_xlfn.MAXIFS('Market Rafı'!$E$5:$E$14,'Market Rafı'!$A$5:$A$14,$A23)*$B$7</f>
        <v>208.42800000000003</v>
      </c>
      <c r="L23" s="20">
        <f>I23-J23</f>
        <v>-51.166499999999985</v>
      </c>
      <c r="M23" s="22">
        <f>L23/J23</f>
        <v>-0.27896725440806042</v>
      </c>
      <c r="N23" s="20">
        <f>I23-K23</f>
        <v>-76.180500000000023</v>
      </c>
      <c r="O23" s="22">
        <f>N23/K23</f>
        <v>-0.36550031665611155</v>
      </c>
      <c r="P23" s="21" cm="1">
        <f t="array" ref="P23">INDEX(_xlfn._xlws.FILTER('Tarifler ve Verim'!$I$5:$I$26,'Tarifler ve Verim'!$A$5:$A$26=$A23),1)</f>
        <v>6</v>
      </c>
      <c r="Q23" s="21" cm="1">
        <f t="array" ref="Q23">INDEX(_xlfn._xlws.FILTER('Tarifler ve Verim'!$H$5:$H$26,'Tarifler ve Verim'!$A$5:$A$26=$A23),1)</f>
        <v>2</v>
      </c>
      <c r="R23" s="26" t="str">
        <f>IF(L23&lt;0,"Ev daha ucuz","Hazır daha ucuz")</f>
        <v>Ev daha ucuz</v>
      </c>
      <c r="S23" s="26" t="str">
        <f>IF(N23&lt;0,"Ev daha ucuz","Hazır daha ucuz")</f>
        <v>Ev daha ucuz</v>
      </c>
    </row>
    <row r="25" spans="1:19">
      <c r="A25" s="52" t="s">
        <v>214</v>
      </c>
      <c r="B25" s="51"/>
      <c r="C25" s="51"/>
      <c r="D25" s="51"/>
      <c r="E25" s="51"/>
      <c r="F25" s="51"/>
      <c r="G25" s="51"/>
      <c r="H25" s="51"/>
      <c r="I25" s="51"/>
      <c r="J25" s="51"/>
      <c r="K25" s="51"/>
      <c r="L25" s="51"/>
      <c r="M25" s="51"/>
      <c r="N25" s="51"/>
      <c r="O25" s="51"/>
      <c r="P25" s="51"/>
      <c r="Q25" s="51"/>
      <c r="R25" s="51"/>
      <c r="S25" s="51"/>
    </row>
    <row r="26" spans="1:19">
      <c r="A26" s="12" t="s">
        <v>215</v>
      </c>
      <c r="B26" s="12"/>
      <c r="C26" s="12"/>
      <c r="D26" s="12"/>
      <c r="E26" s="12"/>
      <c r="F26" s="12"/>
      <c r="G26" s="12"/>
      <c r="H26" s="12"/>
      <c r="I26" s="12"/>
      <c r="J26" s="12"/>
      <c r="K26" s="12"/>
      <c r="L26" s="12"/>
      <c r="M26" s="12"/>
      <c r="N26" s="12"/>
      <c r="O26" s="12"/>
      <c r="P26" s="12"/>
      <c r="Q26" s="12"/>
      <c r="R26" s="12"/>
      <c r="S26" s="12"/>
    </row>
    <row r="27" spans="1:19">
      <c r="A27" s="51"/>
      <c r="B27" s="51"/>
      <c r="C27" s="51"/>
      <c r="D27" s="51"/>
      <c r="E27" s="51"/>
      <c r="F27" s="51"/>
      <c r="G27" s="51"/>
      <c r="H27" s="51"/>
      <c r="I27" s="51"/>
      <c r="J27" s="51"/>
      <c r="K27" s="51"/>
      <c r="L27" s="51"/>
      <c r="M27" s="51"/>
      <c r="N27" s="51"/>
      <c r="O27" s="51"/>
      <c r="P27" s="51"/>
      <c r="Q27" s="51"/>
      <c r="R27" s="51"/>
      <c r="S27" s="51"/>
    </row>
    <row r="28" spans="1:19">
      <c r="A28" s="51"/>
      <c r="B28" s="51"/>
      <c r="C28" s="51"/>
      <c r="D28" s="51"/>
      <c r="E28" s="51"/>
      <c r="F28" s="51"/>
      <c r="G28" s="51"/>
      <c r="H28" s="51"/>
      <c r="I28" s="51"/>
      <c r="J28" s="51"/>
      <c r="K28" s="51"/>
      <c r="L28" s="51"/>
      <c r="M28" s="51"/>
      <c r="N28" s="51"/>
      <c r="O28" s="51"/>
      <c r="P28" s="51"/>
      <c r="Q28" s="51"/>
      <c r="R28" s="51"/>
      <c r="S28" s="51"/>
    </row>
    <row r="30" spans="1:19">
      <c r="A30" s="52" t="s">
        <v>216</v>
      </c>
      <c r="B30" s="51"/>
      <c r="C30" s="51"/>
      <c r="D30" s="51"/>
      <c r="E30" s="51"/>
      <c r="F30" s="51"/>
      <c r="G30" s="51"/>
      <c r="H30" s="51"/>
      <c r="I30" s="51"/>
      <c r="J30" s="51"/>
      <c r="K30" s="51"/>
      <c r="L30" s="51"/>
      <c r="M30" s="51"/>
      <c r="N30" s="51"/>
      <c r="O30" s="51"/>
      <c r="P30" s="51"/>
      <c r="Q30" s="51"/>
      <c r="R30" s="51"/>
      <c r="S30" s="51"/>
    </row>
    <row r="31" spans="1:19" ht="30.75">
      <c r="A31" s="28" t="s">
        <v>217</v>
      </c>
      <c r="B31" s="29" t="s">
        <v>218</v>
      </c>
      <c r="C31" s="29" t="s">
        <v>219</v>
      </c>
      <c r="D31" s="29" t="s">
        <v>220</v>
      </c>
      <c r="E31" s="30" t="s">
        <v>112</v>
      </c>
    </row>
    <row r="32" spans="1:19">
      <c r="A32" s="31">
        <f>SUM(H19:H23)</f>
        <v>29.393939393939391</v>
      </c>
      <c r="B32" s="32">
        <f>SUM(F19:F23)</f>
        <v>3331.3366666666666</v>
      </c>
      <c r="C32" s="32">
        <f>SUMPRODUCT(H19:H23,J19:J23)</f>
        <v>3162.2400000000002</v>
      </c>
      <c r="D32" s="33">
        <f>SUM(P19:P23)</f>
        <v>16.5</v>
      </c>
      <c r="E32" s="34" t="s">
        <v>221</v>
      </c>
    </row>
    <row r="35" spans="1:19">
      <c r="A35" s="52" t="s">
        <v>222</v>
      </c>
      <c r="B35" s="51"/>
      <c r="C35" s="51"/>
      <c r="D35" s="51"/>
      <c r="E35" s="51"/>
      <c r="F35" s="51"/>
      <c r="G35" s="51"/>
      <c r="H35" s="51"/>
      <c r="I35" s="51"/>
      <c r="J35" s="51"/>
      <c r="K35" s="51"/>
      <c r="L35" s="51"/>
      <c r="M35" s="51"/>
      <c r="N35" s="51"/>
      <c r="O35" s="51"/>
      <c r="P35" s="51"/>
      <c r="Q35" s="51"/>
      <c r="R35" s="51"/>
      <c r="S35" s="51"/>
    </row>
    <row r="36" spans="1:19" ht="30.75">
      <c r="A36" s="14" t="s">
        <v>135</v>
      </c>
      <c r="B36" s="14" t="s">
        <v>104</v>
      </c>
      <c r="C36" s="14" t="s">
        <v>223</v>
      </c>
      <c r="D36" s="14" t="s">
        <v>224</v>
      </c>
      <c r="E36" s="14" t="s">
        <v>225</v>
      </c>
      <c r="F36" s="14" t="s">
        <v>226</v>
      </c>
      <c r="G36" s="14" t="s">
        <v>227</v>
      </c>
      <c r="H36" s="14" t="s">
        <v>228</v>
      </c>
      <c r="I36" s="14" t="s">
        <v>229</v>
      </c>
      <c r="J36" s="14" t="s">
        <v>202</v>
      </c>
      <c r="K36" s="14" t="s">
        <v>204</v>
      </c>
      <c r="L36" s="14" t="s">
        <v>205</v>
      </c>
      <c r="M36" s="14" t="s">
        <v>230</v>
      </c>
      <c r="N36" s="14" t="s">
        <v>231</v>
      </c>
      <c r="O36" s="14" t="s">
        <v>232</v>
      </c>
      <c r="P36" s="14" t="s">
        <v>233</v>
      </c>
      <c r="Q36" s="14" t="s">
        <v>201</v>
      </c>
      <c r="R36" s="14" t="s">
        <v>210</v>
      </c>
      <c r="S36" s="14" t="s">
        <v>106</v>
      </c>
    </row>
    <row r="37" spans="1:19">
      <c r="A37" s="37" t="s">
        <v>234</v>
      </c>
      <c r="B37" s="38" t="s">
        <v>63</v>
      </c>
      <c r="C37" s="42">
        <f>(M37+N37+P37)/J37</f>
        <v>122.55</v>
      </c>
      <c r="D37" s="43">
        <f>(C37-K37)/K37</f>
        <v>1.7545144367574272</v>
      </c>
      <c r="E37" s="43">
        <f>(C37-L37)/L37</f>
        <v>-4.4404208832184919E-2</v>
      </c>
      <c r="F37" s="42">
        <f>(M37+O37+P37)/J37</f>
        <v>103.55000000000001</v>
      </c>
      <c r="G37" s="43">
        <f>(F37-K37)/K37</f>
        <v>1.3274579349345708</v>
      </c>
      <c r="H37" s="43">
        <f>(F37-L37)/L37</f>
        <v>-0.19255859505975303</v>
      </c>
      <c r="I37" s="42">
        <f>C37-F37</f>
        <v>18.999999999999986</v>
      </c>
      <c r="J37" s="44">
        <f>Q37/$B$7</f>
        <v>1.8181818181818181</v>
      </c>
      <c r="K37" s="42">
        <f>_xlfn.MINIFS('Market Rafı'!$E$5:$E$14,'Market Rafı'!$A$5:$A$14,$B37)*$B$7</f>
        <v>44.490600000000001</v>
      </c>
      <c r="L37" s="42">
        <f>_xlfn.MAXIFS('Market Rafı'!$E$5:$E$14,'Market Rafı'!$A$5:$A$14,$B37)*$B$7</f>
        <v>128.24460000000002</v>
      </c>
      <c r="M37" s="42" cm="1">
        <f t="array" ref="M37">_xlfn.LET(_xlpm.prod,$B37,_xlpm.src,$A37,_xlpm.ing,_xlfn._xlws.FILTER('Tarifler ve Verim'!$D$5:$D$26,'Tarifler ve Verim'!$A$5:$A$26=_xlpm.prod),_xlpm.qty,_xlfn._xlws.FILTER('Tarifler ve Verim'!$E$5:$E$26,'Tarifler ve Verim'!$A$5:$A$26=_xlpm.prod),_xlpm.price,_xlfn.IFNA(_xlfn.XLOOKUP(_xlpm.ing,'Malzeme Fiyatları'!$A$5:$A$17,CHOOSE(MATCH(_xlpm.src,{"Hal ortalaması","Pazar kasa","Pazar perakende","Market"},0),'Malzeme Fiyatları'!$D$5:$D$17,'Malzeme Fiyatları'!$E$5:$E$17,'Malzeme Fiyatları'!$F$5:$F$17,'Malzeme Fiyatları'!$G$5:$G$17)),0),SUMPRODUCT(_xlpm.qty,_xlpm.price))</f>
        <v>150</v>
      </c>
      <c r="N37" s="42" cm="1">
        <f t="array" ref="N37">_xlfn.LET(_xlpm.prod,$B37,_xlpm.ing,_xlfn._xlws.FILTER('Tarifler ve Verim'!$D$5:$D$26,'Tarifler ve Verim'!$A$5:$A$26=_xlpm.prod),_xlpm.qty,_xlfn._xlws.FILTER('Tarifler ve Verim'!$E$5:$E$26,'Tarifler ve Verim'!$A$5:$A$26=_xlpm.prod),_xlpm.sup,_xlfn.IFNA(_xlfn.XLOOKUP(_xlpm.ing,'Sarf ve Ambalaj'!$A$5:$A$12,'Sarf ve Ambalaj'!$F$5:$F$12),0),SUMPRODUCT(_xlpm.qty,_xlpm.sup)+IF(S37="Kavanoz",J37*(19+$B$9),0))</f>
        <v>45.81818181818182</v>
      </c>
      <c r="O37" s="42" cm="1">
        <f t="array" ref="O37">_xlfn.LET(_xlpm.prod,$B37,_xlpm.ing,_xlfn._xlws.FILTER('Tarifler ve Verim'!$D$5:$D$26,'Tarifler ve Verim'!$A$5:$A$26=_xlpm.prod),_xlpm.qty,_xlfn._xlws.FILTER('Tarifler ve Verim'!$E$5:$E$26,'Tarifler ve Verim'!$A$5:$A$26=_xlpm.prod),_xlpm.sup,_xlfn.IFNA(_xlfn.XLOOKUP(_xlpm.ing,'Sarf ve Ambalaj'!$A$5:$A$12,'Sarf ve Ambalaj'!$F$5:$F$12),0),SUMPRODUCT(_xlpm.qty,_xlpm.sup)+IF(S37="Kavanoz",J37*(0+$B$9),0))</f>
        <v>11.272727272727273</v>
      </c>
      <c r="P37" s="42" cm="1">
        <f t="array" ref="P37">INDEX(_xlfn._xlws.FILTER('Tarifler ve Verim'!$H$5:$H$26,'Tarifler ve Verim'!$A$5:$A$26=$B37),1)*$B$10*$B$11</f>
        <v>27</v>
      </c>
      <c r="Q37" s="42" cm="1">
        <f t="array" ref="Q37">INDEX(_xlfn._xlws.FILTER('Tarifler ve Verim'!$G$5:$G$26,'Tarifler ve Verim'!$A$5:$A$26=$B37),1)</f>
        <v>1.2</v>
      </c>
      <c r="R37" s="44" cm="1">
        <f t="array" ref="R37">INDEX(_xlfn._xlws.FILTER('Tarifler ve Verim'!$I$5:$I$26,'Tarifler ve Verim'!$A$5:$A$26=$B37),1)</f>
        <v>3</v>
      </c>
      <c r="S37" s="48" t="str" cm="1">
        <f t="array" ref="S37">INDEX(_xlfn._xlws.FILTER('Tarifler ve Verim'!$C$5:$C$26,'Tarifler ve Verim'!$A$5:$A$26=$B37),1)</f>
        <v>Kavanoz</v>
      </c>
    </row>
    <row r="38" spans="1:19">
      <c r="A38" s="39" t="s">
        <v>234</v>
      </c>
      <c r="B38" s="19" t="s">
        <v>67</v>
      </c>
      <c r="C38" s="23">
        <f>(M38+N38+P38)/J38</f>
        <v>205.25900000000001</v>
      </c>
      <c r="D38" s="25">
        <f>(C38-K38)/K38</f>
        <v>1.7230407569257058</v>
      </c>
      <c r="E38" s="25">
        <f>(C38-L38)/L38</f>
        <v>0.14069279947360946</v>
      </c>
      <c r="F38" s="23">
        <f>(M38+O38+P38)/J38</f>
        <v>186.25899999999999</v>
      </c>
      <c r="G38" s="25">
        <f>(F38-K38)/K38</f>
        <v>1.4709798271657999</v>
      </c>
      <c r="H38" s="25">
        <f>(F38-L38)/L38</f>
        <v>3.5103455327927129E-2</v>
      </c>
      <c r="I38" s="23">
        <f>C38-F38</f>
        <v>19.000000000000028</v>
      </c>
      <c r="J38" s="24">
        <f>Q38/$B$7</f>
        <v>3.0303030303030303</v>
      </c>
      <c r="K38" s="23">
        <f>_xlfn.MINIFS('Market Rafı'!$E$5:$E$14,'Market Rafı'!$A$5:$A$14,$B38)*$B$7</f>
        <v>75.378600000000006</v>
      </c>
      <c r="L38" s="23">
        <f>_xlfn.MAXIFS('Market Rafı'!$E$5:$E$14,'Market Rafı'!$A$5:$A$14,$B38)*$B$7</f>
        <v>179.94239999999999</v>
      </c>
      <c r="M38" s="23" cm="1">
        <f t="array" ref="M38">_xlfn.LET(_xlpm.prod,$B38,_xlpm.src,$A38,_xlpm.ing,_xlfn._xlws.FILTER('Tarifler ve Verim'!$D$5:$D$26,'Tarifler ve Verim'!$A$5:$A$26=_xlpm.prod),_xlpm.qty,_xlfn._xlws.FILTER('Tarifler ve Verim'!$E$5:$E$26,'Tarifler ve Verim'!$A$5:$A$26=_xlpm.prod),_xlpm.price,_xlfn.IFNA(_xlfn.XLOOKUP(_xlpm.ing,'Malzeme Fiyatları'!$A$5:$A$17,CHOOSE(MATCH(_xlpm.src,{"Hal ortalaması","Pazar kasa","Pazar perakende","Market"},0),'Malzeme Fiyatları'!$D$5:$D$17,'Malzeme Fiyatları'!$E$5:$E$17,'Malzeme Fiyatları'!$F$5:$F$17,'Malzeme Fiyatları'!$G$5:$G$17)),0),SUMPRODUCT(_xlpm.qty,_xlpm.price))</f>
        <v>525</v>
      </c>
      <c r="N38" s="23" cm="1">
        <f t="array" ref="N38">_xlfn.LET(_xlpm.prod,$B38,_xlpm.ing,_xlfn._xlws.FILTER('Tarifler ve Verim'!$D$5:$D$26,'Tarifler ve Verim'!$A$5:$A$26=_xlpm.prod),_xlpm.qty,_xlfn._xlws.FILTER('Tarifler ve Verim'!$E$5:$E$26,'Tarifler ve Verim'!$A$5:$A$26=_xlpm.prod),_xlpm.sup,_xlfn.IFNA(_xlfn.XLOOKUP(_xlpm.ing,'Sarf ve Ambalaj'!$A$5:$A$12,'Sarf ve Ambalaj'!$F$5:$F$12),0),SUMPRODUCT(_xlpm.qty,_xlpm.sup)+IF(S38="Kavanoz",J38*(19+$B$9),0))</f>
        <v>74.4969696969697</v>
      </c>
      <c r="O38" s="23" cm="1">
        <f t="array" ref="O38">_xlfn.LET(_xlpm.prod,$B38,_xlpm.ing,_xlfn._xlws.FILTER('Tarifler ve Verim'!$D$5:$D$26,'Tarifler ve Verim'!$A$5:$A$26=_xlpm.prod),_xlpm.qty,_xlfn._xlws.FILTER('Tarifler ve Verim'!$E$5:$E$26,'Tarifler ve Verim'!$A$5:$A$26=_xlpm.prod),_xlpm.sup,_xlfn.IFNA(_xlfn.XLOOKUP(_xlpm.ing,'Sarf ve Ambalaj'!$A$5:$A$12,'Sarf ve Ambalaj'!$F$5:$F$12),0),SUMPRODUCT(_xlpm.qty,_xlpm.sup)+IF(S38="Kavanoz",J38*(0+$B$9),0))</f>
        <v>16.921212121212122</v>
      </c>
      <c r="P38" s="23" cm="1">
        <f t="array" ref="P38">INDEX(_xlfn._xlws.FILTER('Tarifler ve Verim'!$H$5:$H$26,'Tarifler ve Verim'!$A$5:$A$26=$B38),1)*$B$10*$B$11</f>
        <v>22.5</v>
      </c>
      <c r="Q38" s="23" cm="1">
        <f t="array" ref="Q38">INDEX(_xlfn._xlws.FILTER('Tarifler ve Verim'!$G$5:$G$26,'Tarifler ve Verim'!$A$5:$A$26=$B38),1)</f>
        <v>2</v>
      </c>
      <c r="R38" s="24" cm="1">
        <f t="array" ref="R38">INDEX(_xlfn._xlws.FILTER('Tarifler ve Verim'!$I$5:$I$26,'Tarifler ve Verim'!$A$5:$A$26=$B38),1)</f>
        <v>3.5</v>
      </c>
      <c r="S38" s="49" t="str" cm="1">
        <f t="array" ref="S38">INDEX(_xlfn._xlws.FILTER('Tarifler ve Verim'!$C$5:$C$26,'Tarifler ve Verim'!$A$5:$A$26=$B38),1)</f>
        <v>Kavanoz</v>
      </c>
    </row>
    <row r="39" spans="1:19">
      <c r="A39" s="39" t="s">
        <v>234</v>
      </c>
      <c r="B39" s="19" t="s">
        <v>70</v>
      </c>
      <c r="C39" s="23">
        <f>(M39+N39+P39)/J39</f>
        <v>38.406285714285723</v>
      </c>
      <c r="D39" s="25">
        <f>(C39-K39)/K39</f>
        <v>-0.43083585689219472</v>
      </c>
      <c r="E39" s="25">
        <f>(C39-L39)/L39</f>
        <v>-0.64010549822906804</v>
      </c>
      <c r="F39" s="23">
        <f>(M39+O39+P39)/J39</f>
        <v>19.406285714285715</v>
      </c>
      <c r="G39" s="25">
        <f>(F39-K39)/K39</f>
        <v>-0.71240744128068068</v>
      </c>
      <c r="H39" s="25">
        <f>(F39-L39)/L39</f>
        <v>-0.81814915453359394</v>
      </c>
      <c r="I39" s="23">
        <f>C39-F39</f>
        <v>19.000000000000007</v>
      </c>
      <c r="J39" s="24">
        <f>Q39/$B$7</f>
        <v>10.606060606060606</v>
      </c>
      <c r="K39" s="23">
        <f>_xlfn.MINIFS('Market Rafı'!$E$5:$E$14,'Market Rafı'!$A$5:$A$14,$B39)*$B$7</f>
        <v>67.478399999999993</v>
      </c>
      <c r="L39" s="23">
        <f>_xlfn.MAXIFS('Market Rafı'!$E$5:$E$14,'Market Rafı'!$A$5:$A$14,$B39)*$B$7</f>
        <v>106.7154</v>
      </c>
      <c r="M39" s="23" cm="1">
        <f t="array" ref="M39">_xlfn.LET(_xlpm.prod,$B39,_xlpm.src,$A39,_xlpm.ing,_xlfn._xlws.FILTER('Tarifler ve Verim'!$D$5:$D$26,'Tarifler ve Verim'!$A$5:$A$26=_xlpm.prod),_xlpm.qty,_xlfn._xlws.FILTER('Tarifler ve Verim'!$E$5:$E$26,'Tarifler ve Verim'!$A$5:$A$26=_xlpm.prod),_xlpm.price,_xlfn.IFNA(_xlfn.XLOOKUP(_xlpm.ing,'Malzeme Fiyatları'!$A$5:$A$17,CHOOSE(MATCH(_xlpm.src,{"Hal ortalaması","Pazar kasa","Pazar perakende","Market"},0),'Malzeme Fiyatları'!$D$5:$D$17,'Malzeme Fiyatları'!$E$5:$E$17,'Malzeme Fiyatları'!$F$5:$F$17,'Malzeme Fiyatları'!$G$5:$G$17)),0),SUMPRODUCT(_xlpm.qty,_xlpm.price))</f>
        <v>116.9</v>
      </c>
      <c r="N39" s="23" cm="1">
        <f t="array" ref="N39">_xlfn.LET(_xlpm.prod,$B39,_xlpm.ing,_xlfn._xlws.FILTER('Tarifler ve Verim'!$D$5:$D$26,'Tarifler ve Verim'!$A$5:$A$26=_xlpm.prod),_xlpm.qty,_xlfn._xlws.FILTER('Tarifler ve Verim'!$E$5:$E$26,'Tarifler ve Verim'!$A$5:$A$26=_xlpm.prod),_xlpm.sup,_xlfn.IFNA(_xlfn.XLOOKUP(_xlpm.ing,'Sarf ve Ambalaj'!$A$5:$A$12,'Sarf ve Ambalaj'!$F$5:$F$12),0),SUMPRODUCT(_xlpm.qty,_xlpm.sup)+IF(S39="Kavanoz",J39*(19+$B$9),0))</f>
        <v>285.93939393939394</v>
      </c>
      <c r="O39" s="23" cm="1">
        <f t="array" ref="O39">_xlfn.LET(_xlpm.prod,$B39,_xlpm.ing,_xlfn._xlws.FILTER('Tarifler ve Verim'!$D$5:$D$26,'Tarifler ve Verim'!$A$5:$A$26=_xlpm.prod),_xlpm.qty,_xlfn._xlws.FILTER('Tarifler ve Verim'!$E$5:$E$26,'Tarifler ve Verim'!$A$5:$A$26=_xlpm.prod),_xlpm.sup,_xlfn.IFNA(_xlfn.XLOOKUP(_xlpm.ing,'Sarf ve Ambalaj'!$A$5:$A$12,'Sarf ve Ambalaj'!$F$5:$F$12),0),SUMPRODUCT(_xlpm.qty,_xlpm.sup)+IF(S39="Kavanoz",J39*(0+$B$9),0))</f>
        <v>84.424242424242422</v>
      </c>
      <c r="P39" s="23" cm="1">
        <f t="array" ref="P39">INDEX(_xlfn._xlws.FILTER('Tarifler ve Verim'!$H$5:$H$26,'Tarifler ve Verim'!$A$5:$A$26=$B39),1)*$B$10*$B$11</f>
        <v>4.5</v>
      </c>
      <c r="Q39" s="23" cm="1">
        <f t="array" ref="Q39">INDEX(_xlfn._xlws.FILTER('Tarifler ve Verim'!$G$5:$G$26,'Tarifler ve Verim'!$A$5:$A$26=$B39),1)</f>
        <v>7</v>
      </c>
      <c r="R39" s="24" cm="1">
        <f t="array" ref="R39">INDEX(_xlfn._xlws.FILTER('Tarifler ve Verim'!$I$5:$I$26,'Tarifler ve Verim'!$A$5:$A$26=$B39),1)</f>
        <v>2</v>
      </c>
      <c r="S39" s="49" t="str" cm="1">
        <f t="array" ref="S39">INDEX(_xlfn._xlws.FILTER('Tarifler ve Verim'!$C$5:$C$26,'Tarifler ve Verim'!$A$5:$A$26=$B39),1)</f>
        <v>Kavanoz</v>
      </c>
    </row>
    <row r="40" spans="1:19">
      <c r="A40" s="39" t="s">
        <v>234</v>
      </c>
      <c r="B40" s="19" t="s">
        <v>73</v>
      </c>
      <c r="C40" s="23">
        <f>(M40+N40+P40)/J40</f>
        <v>81.317346153846159</v>
      </c>
      <c r="D40" s="25">
        <f>(C40-K40)/K40</f>
        <v>-0.37533917951176116</v>
      </c>
      <c r="E40" s="25">
        <f>(C40-L40)/L40</f>
        <v>-0.53158156775614851</v>
      </c>
      <c r="F40" s="23">
        <f>(M40+O40+P40)/J40</f>
        <v>62.317346153846152</v>
      </c>
      <c r="G40" s="25">
        <f>(F40-K40)/K40</f>
        <v>-0.52129273248214636</v>
      </c>
      <c r="H40" s="25">
        <f>(F40-L40)/L40</f>
        <v>-0.64102869845560784</v>
      </c>
      <c r="I40" s="23">
        <f>C40-F40</f>
        <v>19.000000000000007</v>
      </c>
      <c r="J40" s="24">
        <f>Q40/$B$7</f>
        <v>7.8787878787878789</v>
      </c>
      <c r="K40" s="23">
        <f>_xlfn.MINIFS('Market Rafı'!$E$5:$E$14,'Market Rafı'!$A$5:$A$14,$B40)*$B$7</f>
        <v>130.17840000000001</v>
      </c>
      <c r="L40" s="23">
        <f>_xlfn.MAXIFS('Market Rafı'!$E$5:$E$14,'Market Rafı'!$A$5:$A$14,$B40)*$B$7</f>
        <v>173.59979999999999</v>
      </c>
      <c r="M40" s="23" cm="1">
        <f t="array" ref="M40">_xlfn.LET(_xlpm.prod,$B40,_xlpm.src,$A40,_xlpm.ing,_xlfn._xlws.FILTER('Tarifler ve Verim'!$D$5:$D$26,'Tarifler ve Verim'!$A$5:$A$26=_xlpm.prod),_xlpm.qty,_xlfn._xlws.FILTER('Tarifler ve Verim'!$E$5:$E$26,'Tarifler ve Verim'!$A$5:$A$26=_xlpm.prod),_xlpm.price,_xlfn.IFNA(_xlfn.XLOOKUP(_xlpm.ing,'Malzeme Fiyatları'!$A$5:$A$17,CHOOSE(MATCH(_xlpm.src,{"Hal ortalaması","Pazar kasa","Pazar perakende","Market"},0),'Malzeme Fiyatları'!$D$5:$D$17,'Malzeme Fiyatları'!$E$5:$E$17,'Malzeme Fiyatları'!$F$5:$F$17,'Malzeme Fiyatları'!$G$5:$G$17)),0),SUMPRODUCT(_xlpm.qty,_xlpm.price))</f>
        <v>320</v>
      </c>
      <c r="N40" s="23" cm="1">
        <f t="array" ref="N40">_xlfn.LET(_xlpm.prod,$B40,_xlpm.ing,_xlfn._xlws.FILTER('Tarifler ve Verim'!$D$5:$D$26,'Tarifler ve Verim'!$A$5:$A$26=_xlpm.prod),_xlpm.qty,_xlfn._xlws.FILTER('Tarifler ve Verim'!$E$5:$E$26,'Tarifler ve Verim'!$A$5:$A$26=_xlpm.prod),_xlpm.sup,_xlfn.IFNA(_xlfn.XLOOKUP(_xlpm.ing,'Sarf ve Ambalaj'!$A$5:$A$12,'Sarf ve Ambalaj'!$F$5:$F$12),0),SUMPRODUCT(_xlpm.qty,_xlpm.sup)+IF(S40="Kavanoz",J40*(19+$B$9),0))</f>
        <v>307.18212121212122</v>
      </c>
      <c r="O40" s="23" cm="1">
        <f t="array" ref="O40">_xlfn.LET(_xlpm.prod,$B40,_xlpm.ing,_xlfn._xlws.FILTER('Tarifler ve Verim'!$D$5:$D$26,'Tarifler ve Verim'!$A$5:$A$26=_xlpm.prod),_xlpm.qty,_xlfn._xlws.FILTER('Tarifler ve Verim'!$E$5:$E$26,'Tarifler ve Verim'!$A$5:$A$26=_xlpm.prod),_xlpm.sup,_xlfn.IFNA(_xlfn.XLOOKUP(_xlpm.ing,'Sarf ve Ambalaj'!$A$5:$A$12,'Sarf ve Ambalaj'!$F$5:$F$12),0),SUMPRODUCT(_xlpm.qty,_xlpm.sup)+IF(S40="Kavanoz",J40*(0+$B$9),0))</f>
        <v>157.48515151515153</v>
      </c>
      <c r="P40" s="23" cm="1">
        <f t="array" ref="P40">INDEX(_xlfn._xlws.FILTER('Tarifler ve Verim'!$H$5:$H$26,'Tarifler ve Verim'!$A$5:$A$26=$B40),1)*$B$10*$B$11</f>
        <v>13.5</v>
      </c>
      <c r="Q40" s="23" cm="1">
        <f t="array" ref="Q40">INDEX(_xlfn._xlws.FILTER('Tarifler ve Verim'!$G$5:$G$26,'Tarifler ve Verim'!$A$5:$A$26=$B40),1)</f>
        <v>5.2</v>
      </c>
      <c r="R40" s="24" cm="1">
        <f t="array" ref="R40">INDEX(_xlfn._xlws.FILTER('Tarifler ve Verim'!$I$5:$I$26,'Tarifler ve Verim'!$A$5:$A$26=$B40),1)</f>
        <v>2</v>
      </c>
      <c r="S40" s="49" t="str" cm="1">
        <f t="array" ref="S40">INDEX(_xlfn._xlws.FILTER('Tarifler ve Verim'!$C$5:$C$26,'Tarifler ve Verim'!$A$5:$A$26=$B40),1)</f>
        <v>Kavanoz</v>
      </c>
    </row>
    <row r="41" spans="1:19">
      <c r="A41" s="39" t="s">
        <v>234</v>
      </c>
      <c r="B41" s="19" t="s">
        <v>76</v>
      </c>
      <c r="C41" s="23">
        <f>(M41+N41+P41)/J41</f>
        <v>106.63124999999999</v>
      </c>
      <c r="D41" s="25">
        <f>(C41-K41)/K41</f>
        <v>-0.41863080244692336</v>
      </c>
      <c r="E41" s="25">
        <f>(C41-L41)/L41</f>
        <v>-0.4884024699176695</v>
      </c>
      <c r="F41" s="23">
        <f>(M41+O41+P41)/J41</f>
        <v>106.63124999999999</v>
      </c>
      <c r="G41" s="25">
        <f>(F41-K41)/K41</f>
        <v>-0.41863080244692336</v>
      </c>
      <c r="H41" s="25">
        <f>(F41-L41)/L41</f>
        <v>-0.4884024699176695</v>
      </c>
      <c r="I41" s="23">
        <f>C41-F41</f>
        <v>0</v>
      </c>
      <c r="J41" s="24">
        <f>Q41/$B$7</f>
        <v>6.0606060606060606</v>
      </c>
      <c r="K41" s="23">
        <f>_xlfn.MINIFS('Market Rafı'!$E$5:$E$14,'Market Rafı'!$A$5:$A$14,$B41)*$B$7</f>
        <v>183.41399999999999</v>
      </c>
      <c r="L41" s="23">
        <f>_xlfn.MAXIFS('Market Rafı'!$E$5:$E$14,'Market Rafı'!$A$5:$A$14,$B41)*$B$7</f>
        <v>208.42800000000003</v>
      </c>
      <c r="M41" s="23" cm="1">
        <f t="array" ref="M41">_xlfn.LET(_xlpm.prod,$B41,_xlpm.src,$A41,_xlpm.ing,_xlfn._xlws.FILTER('Tarifler ve Verim'!$D$5:$D$26,'Tarifler ve Verim'!$A$5:$A$26=_xlpm.prod),_xlpm.qty,_xlfn._xlws.FILTER('Tarifler ve Verim'!$E$5:$E$26,'Tarifler ve Verim'!$A$5:$A$26=_xlpm.prod),_xlpm.price,_xlfn.IFNA(_xlfn.XLOOKUP(_xlpm.ing,'Malzeme Fiyatları'!$A$5:$A$17,CHOOSE(MATCH(_xlpm.src,{"Hal ortalaması","Pazar kasa","Pazar perakende","Market"},0),'Malzeme Fiyatları'!$D$5:$D$17,'Malzeme Fiyatları'!$E$5:$E$17,'Malzeme Fiyatları'!$F$5:$F$17,'Malzeme Fiyatları'!$G$5:$G$17)),0),SUMPRODUCT(_xlpm.qty,_xlpm.price))</f>
        <v>352.25</v>
      </c>
      <c r="N41" s="23" cm="1">
        <f t="array" ref="N41">_xlfn.LET(_xlpm.prod,$B41,_xlpm.ing,_xlfn._xlws.FILTER('Tarifler ve Verim'!$D$5:$D$26,'Tarifler ve Verim'!$A$5:$A$26=_xlpm.prod),_xlpm.qty,_xlfn._xlws.FILTER('Tarifler ve Verim'!$E$5:$E$26,'Tarifler ve Verim'!$A$5:$A$26=_xlpm.prod),_xlpm.sup,_xlfn.IFNA(_xlfn.XLOOKUP(_xlpm.ing,'Sarf ve Ambalaj'!$A$5:$A$12,'Sarf ve Ambalaj'!$F$5:$F$12),0),SUMPRODUCT(_xlpm.qty,_xlpm.sup)+IF(S41="Kavanoz",J41*(19+$B$9),0))</f>
        <v>276</v>
      </c>
      <c r="O41" s="23" cm="1">
        <f t="array" ref="O41">_xlfn.LET(_xlpm.prod,$B41,_xlpm.ing,_xlfn._xlws.FILTER('Tarifler ve Verim'!$D$5:$D$26,'Tarifler ve Verim'!$A$5:$A$26=_xlpm.prod),_xlpm.qty,_xlfn._xlws.FILTER('Tarifler ve Verim'!$E$5:$E$26,'Tarifler ve Verim'!$A$5:$A$26=_xlpm.prod),_xlpm.sup,_xlfn.IFNA(_xlfn.XLOOKUP(_xlpm.ing,'Sarf ve Ambalaj'!$A$5:$A$12,'Sarf ve Ambalaj'!$F$5:$F$12),0),SUMPRODUCT(_xlpm.qty,_xlpm.sup)+IF(S41="Kavanoz",J41*(0+$B$9),0))</f>
        <v>276</v>
      </c>
      <c r="P41" s="23" cm="1">
        <f t="array" ref="P41">INDEX(_xlfn._xlws.FILTER('Tarifler ve Verim'!$H$5:$H$26,'Tarifler ve Verim'!$A$5:$A$26=$B41),1)*$B$10*$B$11</f>
        <v>18</v>
      </c>
      <c r="Q41" s="23" cm="1">
        <f t="array" ref="Q41">INDEX(_xlfn._xlws.FILTER('Tarifler ve Verim'!$G$5:$G$26,'Tarifler ve Verim'!$A$5:$A$26=$B41),1)</f>
        <v>4</v>
      </c>
      <c r="R41" s="24" cm="1">
        <f t="array" ref="R41">INDEX(_xlfn._xlws.FILTER('Tarifler ve Verim'!$I$5:$I$26,'Tarifler ve Verim'!$A$5:$A$26=$B41),1)</f>
        <v>6</v>
      </c>
      <c r="S41" s="49" t="str" cm="1">
        <f t="array" ref="S41">INDEX(_xlfn._xlws.FILTER('Tarifler ve Verim'!$C$5:$C$26,'Tarifler ve Verim'!$A$5:$A$26=$B41),1)</f>
        <v>Bez torba</v>
      </c>
    </row>
    <row r="42" spans="1:19">
      <c r="A42" s="39" t="s">
        <v>235</v>
      </c>
      <c r="B42" s="19" t="s">
        <v>63</v>
      </c>
      <c r="C42" s="23">
        <f>(M42+N42+P42)/J42</f>
        <v>163.80000000000001</v>
      </c>
      <c r="D42" s="25">
        <f>(C42-K42)/K42</f>
        <v>2.6816765788728407</v>
      </c>
      <c r="E42" s="25">
        <f>(C42-L42)/L42</f>
        <v>0.27724676126714098</v>
      </c>
      <c r="F42" s="23">
        <f>(M42+O42+P42)/J42</f>
        <v>144.79999999999998</v>
      </c>
      <c r="G42" s="25">
        <f>(F42-K42)/K42</f>
        <v>2.2546200770499834</v>
      </c>
      <c r="H42" s="25">
        <f>(F42-L42)/L42</f>
        <v>0.12909237503957252</v>
      </c>
      <c r="I42" s="23">
        <f>C42-F42</f>
        <v>19.000000000000028</v>
      </c>
      <c r="J42" s="24">
        <f>Q42/$B$7</f>
        <v>1.8181818181818181</v>
      </c>
      <c r="K42" s="23">
        <f>_xlfn.MINIFS('Market Rafı'!$E$5:$E$14,'Market Rafı'!$A$5:$A$14,$B42)*$B$7</f>
        <v>44.490600000000001</v>
      </c>
      <c r="L42" s="23">
        <f>_xlfn.MAXIFS('Market Rafı'!$E$5:$E$14,'Market Rafı'!$A$5:$A$14,$B42)*$B$7</f>
        <v>128.24460000000002</v>
      </c>
      <c r="M42" s="23" cm="1">
        <f t="array" ref="M42">_xlfn.LET(_xlpm.prod,$B42,_xlpm.src,$A42,_xlpm.ing,_xlfn._xlws.FILTER('Tarifler ve Verim'!$D$5:$D$26,'Tarifler ve Verim'!$A$5:$A$26=_xlpm.prod),_xlpm.qty,_xlfn._xlws.FILTER('Tarifler ve Verim'!$E$5:$E$26,'Tarifler ve Verim'!$A$5:$A$26=_xlpm.prod),_xlpm.price,_xlfn.IFNA(_xlfn.XLOOKUP(_xlpm.ing,'Malzeme Fiyatları'!$A$5:$A$17,CHOOSE(MATCH(_xlpm.src,{"Hal ortalaması","Pazar kasa","Pazar perakende","Market"},0),'Malzeme Fiyatları'!$D$5:$D$17,'Malzeme Fiyatları'!$E$5:$E$17,'Malzeme Fiyatları'!$F$5:$F$17,'Malzeme Fiyatları'!$G$5:$G$17)),0),SUMPRODUCT(_xlpm.qty,_xlpm.price))</f>
        <v>225</v>
      </c>
      <c r="N42" s="23" cm="1">
        <f t="array" ref="N42">_xlfn.LET(_xlpm.prod,$B42,_xlpm.ing,_xlfn._xlws.FILTER('Tarifler ve Verim'!$D$5:$D$26,'Tarifler ve Verim'!$A$5:$A$26=_xlpm.prod),_xlpm.qty,_xlfn._xlws.FILTER('Tarifler ve Verim'!$E$5:$E$26,'Tarifler ve Verim'!$A$5:$A$26=_xlpm.prod),_xlpm.sup,_xlfn.IFNA(_xlfn.XLOOKUP(_xlpm.ing,'Sarf ve Ambalaj'!$A$5:$A$12,'Sarf ve Ambalaj'!$F$5:$F$12),0),SUMPRODUCT(_xlpm.qty,_xlpm.sup)+IF(S42="Kavanoz",J42*(19+$B$9),0))</f>
        <v>45.81818181818182</v>
      </c>
      <c r="O42" s="23" cm="1">
        <f t="array" ref="O42">_xlfn.LET(_xlpm.prod,$B42,_xlpm.ing,_xlfn._xlws.FILTER('Tarifler ve Verim'!$D$5:$D$26,'Tarifler ve Verim'!$A$5:$A$26=_xlpm.prod),_xlpm.qty,_xlfn._xlws.FILTER('Tarifler ve Verim'!$E$5:$E$26,'Tarifler ve Verim'!$A$5:$A$26=_xlpm.prod),_xlpm.sup,_xlfn.IFNA(_xlfn.XLOOKUP(_xlpm.ing,'Sarf ve Ambalaj'!$A$5:$A$12,'Sarf ve Ambalaj'!$F$5:$F$12),0),SUMPRODUCT(_xlpm.qty,_xlpm.sup)+IF(S42="Kavanoz",J42*(0+$B$9),0))</f>
        <v>11.272727272727273</v>
      </c>
      <c r="P42" s="23" cm="1">
        <f t="array" ref="P42">INDEX(_xlfn._xlws.FILTER('Tarifler ve Verim'!$H$5:$H$26,'Tarifler ve Verim'!$A$5:$A$26=$B42),1)*$B$10*$B$11</f>
        <v>27</v>
      </c>
      <c r="Q42" s="23" cm="1">
        <f t="array" ref="Q42">INDEX(_xlfn._xlws.FILTER('Tarifler ve Verim'!$G$5:$G$26,'Tarifler ve Verim'!$A$5:$A$26=$B42),1)</f>
        <v>1.2</v>
      </c>
      <c r="R42" s="24" cm="1">
        <f t="array" ref="R42">INDEX(_xlfn._xlws.FILTER('Tarifler ve Verim'!$I$5:$I$26,'Tarifler ve Verim'!$A$5:$A$26=$B42),1)</f>
        <v>3</v>
      </c>
      <c r="S42" s="49" t="str" cm="1">
        <f t="array" ref="S42">INDEX(_xlfn._xlws.FILTER('Tarifler ve Verim'!$C$5:$C$26,'Tarifler ve Verim'!$A$5:$A$26=$B42),1)</f>
        <v>Kavanoz</v>
      </c>
    </row>
    <row r="43" spans="1:19">
      <c r="A43" s="39" t="s">
        <v>235</v>
      </c>
      <c r="B43" s="19" t="s">
        <v>67</v>
      </c>
      <c r="C43" s="23">
        <f>(M43+N43+P43)/J43</f>
        <v>244.85900000000001</v>
      </c>
      <c r="D43" s="25">
        <f>(C43-K43)/K43</f>
        <v>2.2483888000042449</v>
      </c>
      <c r="E43" s="25">
        <f>(C43-L43)/L43</f>
        <v>0.36076322200882072</v>
      </c>
      <c r="F43" s="23">
        <f>(M43+O43+P43)/J43</f>
        <v>225.85899999999998</v>
      </c>
      <c r="G43" s="25">
        <f>(F43-K43)/K43</f>
        <v>1.9963278702443394</v>
      </c>
      <c r="H43" s="25">
        <f>(F43-L43)/L43</f>
        <v>0.25517387786313839</v>
      </c>
      <c r="I43" s="23">
        <f>C43-F43</f>
        <v>19.000000000000028</v>
      </c>
      <c r="J43" s="24">
        <f>Q43/$B$7</f>
        <v>3.0303030303030303</v>
      </c>
      <c r="K43" s="23">
        <f>_xlfn.MINIFS('Market Rafı'!$E$5:$E$14,'Market Rafı'!$A$5:$A$14,$B43)*$B$7</f>
        <v>75.378600000000006</v>
      </c>
      <c r="L43" s="23">
        <f>_xlfn.MAXIFS('Market Rafı'!$E$5:$E$14,'Market Rafı'!$A$5:$A$14,$B43)*$B$7</f>
        <v>179.94239999999999</v>
      </c>
      <c r="M43" s="23" cm="1">
        <f t="array" ref="M43">_xlfn.LET(_xlpm.prod,$B43,_xlpm.src,$A43,_xlpm.ing,_xlfn._xlws.FILTER('Tarifler ve Verim'!$D$5:$D$26,'Tarifler ve Verim'!$A$5:$A$26=_xlpm.prod),_xlpm.qty,_xlfn._xlws.FILTER('Tarifler ve Verim'!$E$5:$E$26,'Tarifler ve Verim'!$A$5:$A$26=_xlpm.prod),_xlpm.price,_xlfn.IFNA(_xlfn.XLOOKUP(_xlpm.ing,'Malzeme Fiyatları'!$A$5:$A$17,CHOOSE(MATCH(_xlpm.src,{"Hal ortalaması","Pazar kasa","Pazar perakende","Market"},0),'Malzeme Fiyatları'!$D$5:$D$17,'Malzeme Fiyatları'!$E$5:$E$17,'Malzeme Fiyatları'!$F$5:$F$17,'Malzeme Fiyatları'!$G$5:$G$17)),0),SUMPRODUCT(_xlpm.qty,_xlpm.price))</f>
        <v>645</v>
      </c>
      <c r="N43" s="23" cm="1">
        <f t="array" ref="N43">_xlfn.LET(_xlpm.prod,$B43,_xlpm.ing,_xlfn._xlws.FILTER('Tarifler ve Verim'!$D$5:$D$26,'Tarifler ve Verim'!$A$5:$A$26=_xlpm.prod),_xlpm.qty,_xlfn._xlws.FILTER('Tarifler ve Verim'!$E$5:$E$26,'Tarifler ve Verim'!$A$5:$A$26=_xlpm.prod),_xlpm.sup,_xlfn.IFNA(_xlfn.XLOOKUP(_xlpm.ing,'Sarf ve Ambalaj'!$A$5:$A$12,'Sarf ve Ambalaj'!$F$5:$F$12),0),SUMPRODUCT(_xlpm.qty,_xlpm.sup)+IF(S43="Kavanoz",J43*(19+$B$9),0))</f>
        <v>74.4969696969697</v>
      </c>
      <c r="O43" s="23" cm="1">
        <f t="array" ref="O43">_xlfn.LET(_xlpm.prod,$B43,_xlpm.ing,_xlfn._xlws.FILTER('Tarifler ve Verim'!$D$5:$D$26,'Tarifler ve Verim'!$A$5:$A$26=_xlpm.prod),_xlpm.qty,_xlfn._xlws.FILTER('Tarifler ve Verim'!$E$5:$E$26,'Tarifler ve Verim'!$A$5:$A$26=_xlpm.prod),_xlpm.sup,_xlfn.IFNA(_xlfn.XLOOKUP(_xlpm.ing,'Sarf ve Ambalaj'!$A$5:$A$12,'Sarf ve Ambalaj'!$F$5:$F$12),0),SUMPRODUCT(_xlpm.qty,_xlpm.sup)+IF(S43="Kavanoz",J43*(0+$B$9),0))</f>
        <v>16.921212121212122</v>
      </c>
      <c r="P43" s="23" cm="1">
        <f t="array" ref="P43">INDEX(_xlfn._xlws.FILTER('Tarifler ve Verim'!$H$5:$H$26,'Tarifler ve Verim'!$A$5:$A$26=$B43),1)*$B$10*$B$11</f>
        <v>22.5</v>
      </c>
      <c r="Q43" s="23" cm="1">
        <f t="array" ref="Q43">INDEX(_xlfn._xlws.FILTER('Tarifler ve Verim'!$G$5:$G$26,'Tarifler ve Verim'!$A$5:$A$26=$B43),1)</f>
        <v>2</v>
      </c>
      <c r="R43" s="24" cm="1">
        <f t="array" ref="R43">INDEX(_xlfn._xlws.FILTER('Tarifler ve Verim'!$I$5:$I$26,'Tarifler ve Verim'!$A$5:$A$26=$B43),1)</f>
        <v>3.5</v>
      </c>
      <c r="S43" s="49" t="str" cm="1">
        <f t="array" ref="S43">INDEX(_xlfn._xlws.FILTER('Tarifler ve Verim'!$C$5:$C$26,'Tarifler ve Verim'!$A$5:$A$26=$B43),1)</f>
        <v>Kavanoz</v>
      </c>
    </row>
    <row r="44" spans="1:19">
      <c r="A44" s="39" t="s">
        <v>235</v>
      </c>
      <c r="B44" s="19" t="s">
        <v>70</v>
      </c>
      <c r="C44" s="23">
        <f>(M44+N44+P44)/J44</f>
        <v>45.977428571428575</v>
      </c>
      <c r="D44" s="25">
        <f>(C44-K44)/K44</f>
        <v>-0.31863487321233785</v>
      </c>
      <c r="E44" s="25">
        <f>(C44-L44)/L44</f>
        <v>-0.56915844787698333</v>
      </c>
      <c r="F44" s="23">
        <f>(M44+O44+P44)/J44</f>
        <v>26.977428571428572</v>
      </c>
      <c r="G44" s="25">
        <f>(F44-K44)/K44</f>
        <v>-0.6002064576008237</v>
      </c>
      <c r="H44" s="25">
        <f>(F44-L44)/L44</f>
        <v>-0.74720210418150923</v>
      </c>
      <c r="I44" s="23">
        <f>C44-F44</f>
        <v>19.000000000000004</v>
      </c>
      <c r="J44" s="24">
        <f>Q44/$B$7</f>
        <v>10.606060606060606</v>
      </c>
      <c r="K44" s="23">
        <f>_xlfn.MINIFS('Market Rafı'!$E$5:$E$14,'Market Rafı'!$A$5:$A$14,$B44)*$B$7</f>
        <v>67.478399999999993</v>
      </c>
      <c r="L44" s="23">
        <f>_xlfn.MAXIFS('Market Rafı'!$E$5:$E$14,'Market Rafı'!$A$5:$A$14,$B44)*$B$7</f>
        <v>106.7154</v>
      </c>
      <c r="M44" s="23" cm="1">
        <f t="array" ref="M44">_xlfn.LET(_xlpm.prod,$B44,_xlpm.src,$A44,_xlpm.ing,_xlfn._xlws.FILTER('Tarifler ve Verim'!$D$5:$D$26,'Tarifler ve Verim'!$A$5:$A$26=_xlpm.prod),_xlpm.qty,_xlfn._xlws.FILTER('Tarifler ve Verim'!$E$5:$E$26,'Tarifler ve Verim'!$A$5:$A$26=_xlpm.prod),_xlpm.price,_xlfn.IFNA(_xlfn.XLOOKUP(_xlpm.ing,'Malzeme Fiyatları'!$A$5:$A$17,CHOOSE(MATCH(_xlpm.src,{"Hal ortalaması","Pazar kasa","Pazar perakende","Market"},0),'Malzeme Fiyatları'!$D$5:$D$17,'Malzeme Fiyatları'!$E$5:$E$17,'Malzeme Fiyatları'!$F$5:$F$17,'Malzeme Fiyatları'!$G$5:$G$17)),0),SUMPRODUCT(_xlpm.qty,_xlpm.price))</f>
        <v>197.2</v>
      </c>
      <c r="N44" s="23" cm="1">
        <f t="array" ref="N44">_xlfn.LET(_xlpm.prod,$B44,_xlpm.ing,_xlfn._xlws.FILTER('Tarifler ve Verim'!$D$5:$D$26,'Tarifler ve Verim'!$A$5:$A$26=_xlpm.prod),_xlpm.qty,_xlfn._xlws.FILTER('Tarifler ve Verim'!$E$5:$E$26,'Tarifler ve Verim'!$A$5:$A$26=_xlpm.prod),_xlpm.sup,_xlfn.IFNA(_xlfn.XLOOKUP(_xlpm.ing,'Sarf ve Ambalaj'!$A$5:$A$12,'Sarf ve Ambalaj'!$F$5:$F$12),0),SUMPRODUCT(_xlpm.qty,_xlpm.sup)+IF(S44="Kavanoz",J44*(19+$B$9),0))</f>
        <v>285.93939393939394</v>
      </c>
      <c r="O44" s="23" cm="1">
        <f t="array" ref="O44">_xlfn.LET(_xlpm.prod,$B44,_xlpm.ing,_xlfn._xlws.FILTER('Tarifler ve Verim'!$D$5:$D$26,'Tarifler ve Verim'!$A$5:$A$26=_xlpm.prod),_xlpm.qty,_xlfn._xlws.FILTER('Tarifler ve Verim'!$E$5:$E$26,'Tarifler ve Verim'!$A$5:$A$26=_xlpm.prod),_xlpm.sup,_xlfn.IFNA(_xlfn.XLOOKUP(_xlpm.ing,'Sarf ve Ambalaj'!$A$5:$A$12,'Sarf ve Ambalaj'!$F$5:$F$12),0),SUMPRODUCT(_xlpm.qty,_xlpm.sup)+IF(S44="Kavanoz",J44*(0+$B$9),0))</f>
        <v>84.424242424242422</v>
      </c>
      <c r="P44" s="23" cm="1">
        <f t="array" ref="P44">INDEX(_xlfn._xlws.FILTER('Tarifler ve Verim'!$H$5:$H$26,'Tarifler ve Verim'!$A$5:$A$26=$B44),1)*$B$10*$B$11</f>
        <v>4.5</v>
      </c>
      <c r="Q44" s="23" cm="1">
        <f t="array" ref="Q44">INDEX(_xlfn._xlws.FILTER('Tarifler ve Verim'!$G$5:$G$26,'Tarifler ve Verim'!$A$5:$A$26=$B44),1)</f>
        <v>7</v>
      </c>
      <c r="R44" s="24" cm="1">
        <f t="array" ref="R44">INDEX(_xlfn._xlws.FILTER('Tarifler ve Verim'!$I$5:$I$26,'Tarifler ve Verim'!$A$5:$A$26=$B44),1)</f>
        <v>2</v>
      </c>
      <c r="S44" s="49" t="str" cm="1">
        <f t="array" ref="S44">INDEX(_xlfn._xlws.FILTER('Tarifler ve Verim'!$C$5:$C$26,'Tarifler ve Verim'!$A$5:$A$26=$B44),1)</f>
        <v>Kavanoz</v>
      </c>
    </row>
    <row r="45" spans="1:19">
      <c r="A45" s="39" t="s">
        <v>235</v>
      </c>
      <c r="B45" s="19" t="s">
        <v>73</v>
      </c>
      <c r="C45" s="23">
        <f>(M45+N45+P45)/J45</f>
        <v>92.23273076923077</v>
      </c>
      <c r="D45" s="25">
        <f>(C45-K45)/K45</f>
        <v>-0.29148974968788399</v>
      </c>
      <c r="E45" s="25">
        <f>(C45-L45)/L45</f>
        <v>-0.46870485582799765</v>
      </c>
      <c r="F45" s="23">
        <f>(M45+O45+P45)/J45</f>
        <v>73.23273076923077</v>
      </c>
      <c r="G45" s="25">
        <f>(F45-K45)/K45</f>
        <v>-0.43744330265826925</v>
      </c>
      <c r="H45" s="25">
        <f>(F45-L45)/L45</f>
        <v>-0.57815198652745692</v>
      </c>
      <c r="I45" s="23">
        <f>C45-F45</f>
        <v>19</v>
      </c>
      <c r="J45" s="24">
        <f>Q45/$B$7</f>
        <v>7.8787878787878789</v>
      </c>
      <c r="K45" s="23">
        <f>_xlfn.MINIFS('Market Rafı'!$E$5:$E$14,'Market Rafı'!$A$5:$A$14,$B45)*$B$7</f>
        <v>130.17840000000001</v>
      </c>
      <c r="L45" s="23">
        <f>_xlfn.MAXIFS('Market Rafı'!$E$5:$E$14,'Market Rafı'!$A$5:$A$14,$B45)*$B$7</f>
        <v>173.59979999999999</v>
      </c>
      <c r="M45" s="23" cm="1">
        <f t="array" ref="M45">_xlfn.LET(_xlpm.prod,$B45,_xlpm.src,$A45,_xlpm.ing,_xlfn._xlws.FILTER('Tarifler ve Verim'!$D$5:$D$26,'Tarifler ve Verim'!$A$5:$A$26=_xlpm.prod),_xlpm.qty,_xlfn._xlws.FILTER('Tarifler ve Verim'!$E$5:$E$26,'Tarifler ve Verim'!$A$5:$A$26=_xlpm.prod),_xlpm.price,_xlfn.IFNA(_xlfn.XLOOKUP(_xlpm.ing,'Malzeme Fiyatları'!$A$5:$A$17,CHOOSE(MATCH(_xlpm.src,{"Hal ortalaması","Pazar kasa","Pazar perakende","Market"},0),'Malzeme Fiyatları'!$D$5:$D$17,'Malzeme Fiyatları'!$E$5:$E$17,'Malzeme Fiyatları'!$F$5:$F$17,'Malzeme Fiyatları'!$G$5:$G$17)),0),SUMPRODUCT(_xlpm.qty,_xlpm.price))</f>
        <v>406</v>
      </c>
      <c r="N45" s="23" cm="1">
        <f t="array" ref="N45">_xlfn.LET(_xlpm.prod,$B45,_xlpm.ing,_xlfn._xlws.FILTER('Tarifler ve Verim'!$D$5:$D$26,'Tarifler ve Verim'!$A$5:$A$26=_xlpm.prod),_xlpm.qty,_xlfn._xlws.FILTER('Tarifler ve Verim'!$E$5:$E$26,'Tarifler ve Verim'!$A$5:$A$26=_xlpm.prod),_xlpm.sup,_xlfn.IFNA(_xlfn.XLOOKUP(_xlpm.ing,'Sarf ve Ambalaj'!$A$5:$A$12,'Sarf ve Ambalaj'!$F$5:$F$12),0),SUMPRODUCT(_xlpm.qty,_xlpm.sup)+IF(S45="Kavanoz",J45*(19+$B$9),0))</f>
        <v>307.18212121212122</v>
      </c>
      <c r="O45" s="23" cm="1">
        <f t="array" ref="O45">_xlfn.LET(_xlpm.prod,$B45,_xlpm.ing,_xlfn._xlws.FILTER('Tarifler ve Verim'!$D$5:$D$26,'Tarifler ve Verim'!$A$5:$A$26=_xlpm.prod),_xlpm.qty,_xlfn._xlws.FILTER('Tarifler ve Verim'!$E$5:$E$26,'Tarifler ve Verim'!$A$5:$A$26=_xlpm.prod),_xlpm.sup,_xlfn.IFNA(_xlfn.XLOOKUP(_xlpm.ing,'Sarf ve Ambalaj'!$A$5:$A$12,'Sarf ve Ambalaj'!$F$5:$F$12),0),SUMPRODUCT(_xlpm.qty,_xlpm.sup)+IF(S45="Kavanoz",J45*(0+$B$9),0))</f>
        <v>157.48515151515153</v>
      </c>
      <c r="P45" s="23" cm="1">
        <f t="array" ref="P45">INDEX(_xlfn._xlws.FILTER('Tarifler ve Verim'!$H$5:$H$26,'Tarifler ve Verim'!$A$5:$A$26=$B45),1)*$B$10*$B$11</f>
        <v>13.5</v>
      </c>
      <c r="Q45" s="23" cm="1">
        <f t="array" ref="Q45">INDEX(_xlfn._xlws.FILTER('Tarifler ve Verim'!$G$5:$G$26,'Tarifler ve Verim'!$A$5:$A$26=$B45),1)</f>
        <v>5.2</v>
      </c>
      <c r="R45" s="24" cm="1">
        <f t="array" ref="R45">INDEX(_xlfn._xlws.FILTER('Tarifler ve Verim'!$I$5:$I$26,'Tarifler ve Verim'!$A$5:$A$26=$B45),1)</f>
        <v>2</v>
      </c>
      <c r="S45" s="49" t="str" cm="1">
        <f t="array" ref="S45">INDEX(_xlfn._xlws.FILTER('Tarifler ve Verim'!$C$5:$C$26,'Tarifler ve Verim'!$A$5:$A$26=$B45),1)</f>
        <v>Kavanoz</v>
      </c>
    </row>
    <row r="46" spans="1:19">
      <c r="A46" s="39" t="s">
        <v>235</v>
      </c>
      <c r="B46" s="19" t="s">
        <v>76</v>
      </c>
      <c r="C46" s="23">
        <f>(M46+N46+P46)/J46</f>
        <v>120.24375000000001</v>
      </c>
      <c r="D46" s="25">
        <f>(C46-K46)/K46</f>
        <v>-0.34441345807844542</v>
      </c>
      <c r="E46" s="25">
        <f>(C46-L46)/L46</f>
        <v>-0.42309214692843577</v>
      </c>
      <c r="F46" s="23">
        <f>(M46+O46+P46)/J46</f>
        <v>120.24375000000001</v>
      </c>
      <c r="G46" s="25">
        <f>(F46-K46)/K46</f>
        <v>-0.34441345807844542</v>
      </c>
      <c r="H46" s="25">
        <f>(F46-L46)/L46</f>
        <v>-0.42309214692843577</v>
      </c>
      <c r="I46" s="23">
        <f>C46-F46</f>
        <v>0</v>
      </c>
      <c r="J46" s="24">
        <f>Q46/$B$7</f>
        <v>6.0606060606060606</v>
      </c>
      <c r="K46" s="23">
        <f>_xlfn.MINIFS('Market Rafı'!$E$5:$E$14,'Market Rafı'!$A$5:$A$14,$B46)*$B$7</f>
        <v>183.41399999999999</v>
      </c>
      <c r="L46" s="23">
        <f>_xlfn.MAXIFS('Market Rafı'!$E$5:$E$14,'Market Rafı'!$A$5:$A$14,$B46)*$B$7</f>
        <v>208.42800000000003</v>
      </c>
      <c r="M46" s="23" cm="1">
        <f t="array" ref="M46">_xlfn.LET(_xlpm.prod,$B46,_xlpm.src,$A46,_xlpm.ing,_xlfn._xlws.FILTER('Tarifler ve Verim'!$D$5:$D$26,'Tarifler ve Verim'!$A$5:$A$26=_xlpm.prod),_xlpm.qty,_xlfn._xlws.FILTER('Tarifler ve Verim'!$E$5:$E$26,'Tarifler ve Verim'!$A$5:$A$26=_xlpm.prod),_xlpm.price,_xlfn.IFNA(_xlfn.XLOOKUP(_xlpm.ing,'Malzeme Fiyatları'!$A$5:$A$17,CHOOSE(MATCH(_xlpm.src,{"Hal ortalaması","Pazar kasa","Pazar perakende","Market"},0),'Malzeme Fiyatları'!$D$5:$D$17,'Malzeme Fiyatları'!$E$5:$E$17,'Malzeme Fiyatları'!$F$5:$F$17,'Malzeme Fiyatları'!$G$5:$G$17)),0),SUMPRODUCT(_xlpm.qty,_xlpm.price))</f>
        <v>434.75</v>
      </c>
      <c r="N46" s="23" cm="1">
        <f t="array" ref="N46">_xlfn.LET(_xlpm.prod,$B46,_xlpm.ing,_xlfn._xlws.FILTER('Tarifler ve Verim'!$D$5:$D$26,'Tarifler ve Verim'!$A$5:$A$26=_xlpm.prod),_xlpm.qty,_xlfn._xlws.FILTER('Tarifler ve Verim'!$E$5:$E$26,'Tarifler ve Verim'!$A$5:$A$26=_xlpm.prod),_xlpm.sup,_xlfn.IFNA(_xlfn.XLOOKUP(_xlpm.ing,'Sarf ve Ambalaj'!$A$5:$A$12,'Sarf ve Ambalaj'!$F$5:$F$12),0),SUMPRODUCT(_xlpm.qty,_xlpm.sup)+IF(S46="Kavanoz",J46*(19+$B$9),0))</f>
        <v>276</v>
      </c>
      <c r="O46" s="23" cm="1">
        <f t="array" ref="O46">_xlfn.LET(_xlpm.prod,$B46,_xlpm.ing,_xlfn._xlws.FILTER('Tarifler ve Verim'!$D$5:$D$26,'Tarifler ve Verim'!$A$5:$A$26=_xlpm.prod),_xlpm.qty,_xlfn._xlws.FILTER('Tarifler ve Verim'!$E$5:$E$26,'Tarifler ve Verim'!$A$5:$A$26=_xlpm.prod),_xlpm.sup,_xlfn.IFNA(_xlfn.XLOOKUP(_xlpm.ing,'Sarf ve Ambalaj'!$A$5:$A$12,'Sarf ve Ambalaj'!$F$5:$F$12),0),SUMPRODUCT(_xlpm.qty,_xlpm.sup)+IF(S46="Kavanoz",J46*(0+$B$9),0))</f>
        <v>276</v>
      </c>
      <c r="P46" s="23" cm="1">
        <f t="array" ref="P46">INDEX(_xlfn._xlws.FILTER('Tarifler ve Verim'!$H$5:$H$26,'Tarifler ve Verim'!$A$5:$A$26=$B46),1)*$B$10*$B$11</f>
        <v>18</v>
      </c>
      <c r="Q46" s="23" cm="1">
        <f t="array" ref="Q46">INDEX(_xlfn._xlws.FILTER('Tarifler ve Verim'!$G$5:$G$26,'Tarifler ve Verim'!$A$5:$A$26=$B46),1)</f>
        <v>4</v>
      </c>
      <c r="R46" s="24" cm="1">
        <f t="array" ref="R46">INDEX(_xlfn._xlws.FILTER('Tarifler ve Verim'!$I$5:$I$26,'Tarifler ve Verim'!$A$5:$A$26=$B46),1)</f>
        <v>6</v>
      </c>
      <c r="S46" s="49" t="str" cm="1">
        <f t="array" ref="S46">INDEX(_xlfn._xlws.FILTER('Tarifler ve Verim'!$C$5:$C$26,'Tarifler ve Verim'!$A$5:$A$26=$B46),1)</f>
        <v>Bez torba</v>
      </c>
    </row>
    <row r="47" spans="1:19">
      <c r="A47" s="39" t="s">
        <v>136</v>
      </c>
      <c r="B47" s="19" t="s">
        <v>63</v>
      </c>
      <c r="C47" s="23">
        <f>(M47+N47+P47)/J47</f>
        <v>177.55</v>
      </c>
      <c r="D47" s="25">
        <f>(C47-K47)/K47</f>
        <v>2.9907306262446451</v>
      </c>
      <c r="E47" s="25">
        <f>(C47-L47)/L47</f>
        <v>0.38446375130024957</v>
      </c>
      <c r="F47" s="23">
        <f>(M47+O47+P47)/J47</f>
        <v>158.54999999999998</v>
      </c>
      <c r="G47" s="25">
        <f>(F47-K47)/K47</f>
        <v>2.5636741244217873</v>
      </c>
      <c r="H47" s="25">
        <f>(F47-L47)/L47</f>
        <v>0.2363093650726811</v>
      </c>
      <c r="I47" s="23">
        <f>C47-F47</f>
        <v>19.000000000000028</v>
      </c>
      <c r="J47" s="24">
        <f>Q47/$B$7</f>
        <v>1.8181818181818181</v>
      </c>
      <c r="K47" s="23">
        <f>_xlfn.MINIFS('Market Rafı'!$E$5:$E$14,'Market Rafı'!$A$5:$A$14,$B47)*$B$7</f>
        <v>44.490600000000001</v>
      </c>
      <c r="L47" s="23">
        <f>_xlfn.MAXIFS('Market Rafı'!$E$5:$E$14,'Market Rafı'!$A$5:$A$14,$B47)*$B$7</f>
        <v>128.24460000000002</v>
      </c>
      <c r="M47" s="23" cm="1">
        <f t="array" ref="M47">_xlfn.LET(_xlpm.prod,$B47,_xlpm.src,$A47,_xlpm.ing,_xlfn._xlws.FILTER('Tarifler ve Verim'!$D$5:$D$26,'Tarifler ve Verim'!$A$5:$A$26=_xlpm.prod),_xlpm.qty,_xlfn._xlws.FILTER('Tarifler ve Verim'!$E$5:$E$26,'Tarifler ve Verim'!$A$5:$A$26=_xlpm.prod),_xlpm.price,_xlfn.IFNA(_xlfn.XLOOKUP(_xlpm.ing,'Malzeme Fiyatları'!$A$5:$A$17,CHOOSE(MATCH(_xlpm.src,{"Hal ortalaması","Pazar kasa","Pazar perakende","Market"},0),'Malzeme Fiyatları'!$D$5:$D$17,'Malzeme Fiyatları'!$E$5:$E$17,'Malzeme Fiyatları'!$F$5:$F$17,'Malzeme Fiyatları'!$G$5:$G$17)),0),SUMPRODUCT(_xlpm.qty,_xlpm.price))</f>
        <v>250</v>
      </c>
      <c r="N47" s="23" cm="1">
        <f t="array" ref="N47">_xlfn.LET(_xlpm.prod,$B47,_xlpm.ing,_xlfn._xlws.FILTER('Tarifler ve Verim'!$D$5:$D$26,'Tarifler ve Verim'!$A$5:$A$26=_xlpm.prod),_xlpm.qty,_xlfn._xlws.FILTER('Tarifler ve Verim'!$E$5:$E$26,'Tarifler ve Verim'!$A$5:$A$26=_xlpm.prod),_xlpm.sup,_xlfn.IFNA(_xlfn.XLOOKUP(_xlpm.ing,'Sarf ve Ambalaj'!$A$5:$A$12,'Sarf ve Ambalaj'!$F$5:$F$12),0),SUMPRODUCT(_xlpm.qty,_xlpm.sup)+IF(S47="Kavanoz",J47*(19+$B$9),0))</f>
        <v>45.81818181818182</v>
      </c>
      <c r="O47" s="23" cm="1">
        <f t="array" ref="O47">_xlfn.LET(_xlpm.prod,$B47,_xlpm.ing,_xlfn._xlws.FILTER('Tarifler ve Verim'!$D$5:$D$26,'Tarifler ve Verim'!$A$5:$A$26=_xlpm.prod),_xlpm.qty,_xlfn._xlws.FILTER('Tarifler ve Verim'!$E$5:$E$26,'Tarifler ve Verim'!$A$5:$A$26=_xlpm.prod),_xlpm.sup,_xlfn.IFNA(_xlfn.XLOOKUP(_xlpm.ing,'Sarf ve Ambalaj'!$A$5:$A$12,'Sarf ve Ambalaj'!$F$5:$F$12),0),SUMPRODUCT(_xlpm.qty,_xlpm.sup)+IF(S47="Kavanoz",J47*(0+$B$9),0))</f>
        <v>11.272727272727273</v>
      </c>
      <c r="P47" s="23" cm="1">
        <f t="array" ref="P47">INDEX(_xlfn._xlws.FILTER('Tarifler ve Verim'!$H$5:$H$26,'Tarifler ve Verim'!$A$5:$A$26=$B47),1)*$B$10*$B$11</f>
        <v>27</v>
      </c>
      <c r="Q47" s="23" cm="1">
        <f t="array" ref="Q47">INDEX(_xlfn._xlws.FILTER('Tarifler ve Verim'!$G$5:$G$26,'Tarifler ve Verim'!$A$5:$A$26=$B47),1)</f>
        <v>1.2</v>
      </c>
      <c r="R47" s="24" cm="1">
        <f t="array" ref="R47">INDEX(_xlfn._xlws.FILTER('Tarifler ve Verim'!$I$5:$I$26,'Tarifler ve Verim'!$A$5:$A$26=$B47),1)</f>
        <v>3</v>
      </c>
      <c r="S47" s="49" t="str" cm="1">
        <f t="array" ref="S47">INDEX(_xlfn._xlws.FILTER('Tarifler ve Verim'!$C$5:$C$26,'Tarifler ve Verim'!$A$5:$A$26=$B47),1)</f>
        <v>Kavanoz</v>
      </c>
    </row>
    <row r="48" spans="1:19">
      <c r="A48" s="39" t="s">
        <v>136</v>
      </c>
      <c r="B48" s="19" t="s">
        <v>67</v>
      </c>
      <c r="C48" s="23">
        <f>(M48+N48+P48)/J48</f>
        <v>279.50900000000001</v>
      </c>
      <c r="D48" s="25">
        <f>(C48-K48)/K48</f>
        <v>2.7080683376979673</v>
      </c>
      <c r="E48" s="25">
        <f>(C48-L48)/L48</f>
        <v>0.55332484172713059</v>
      </c>
      <c r="F48" s="23">
        <f>(M48+O48+P48)/J48</f>
        <v>260.50900000000001</v>
      </c>
      <c r="G48" s="25">
        <f>(F48-K48)/K48</f>
        <v>2.456007407938062</v>
      </c>
      <c r="H48" s="25">
        <f>(F48-L48)/L48</f>
        <v>0.44773549758144843</v>
      </c>
      <c r="I48" s="23">
        <f>C48-F48</f>
        <v>19</v>
      </c>
      <c r="J48" s="24">
        <f>Q48/$B$7</f>
        <v>3.0303030303030303</v>
      </c>
      <c r="K48" s="23">
        <f>_xlfn.MINIFS('Market Rafı'!$E$5:$E$14,'Market Rafı'!$A$5:$A$14,$B48)*$B$7</f>
        <v>75.378600000000006</v>
      </c>
      <c r="L48" s="23">
        <f>_xlfn.MAXIFS('Market Rafı'!$E$5:$E$14,'Market Rafı'!$A$5:$A$14,$B48)*$B$7</f>
        <v>179.94239999999999</v>
      </c>
      <c r="M48" s="23" cm="1">
        <f t="array" ref="M48">_xlfn.LET(_xlpm.prod,$B48,_xlpm.src,$A48,_xlpm.ing,_xlfn._xlws.FILTER('Tarifler ve Verim'!$D$5:$D$26,'Tarifler ve Verim'!$A$5:$A$26=_xlpm.prod),_xlpm.qty,_xlfn._xlws.FILTER('Tarifler ve Verim'!$E$5:$E$26,'Tarifler ve Verim'!$A$5:$A$26=_xlpm.prod),_xlpm.price,_xlfn.IFNA(_xlfn.XLOOKUP(_xlpm.ing,'Malzeme Fiyatları'!$A$5:$A$17,CHOOSE(MATCH(_xlpm.src,{"Hal ortalaması","Pazar kasa","Pazar perakende","Market"},0),'Malzeme Fiyatları'!$D$5:$D$17,'Malzeme Fiyatları'!$E$5:$E$17,'Malzeme Fiyatları'!$F$5:$F$17,'Malzeme Fiyatları'!$G$5:$G$17)),0),SUMPRODUCT(_xlpm.qty,_xlpm.price))</f>
        <v>750</v>
      </c>
      <c r="N48" s="23" cm="1">
        <f t="array" ref="N48">_xlfn.LET(_xlpm.prod,$B48,_xlpm.ing,_xlfn._xlws.FILTER('Tarifler ve Verim'!$D$5:$D$26,'Tarifler ve Verim'!$A$5:$A$26=_xlpm.prod),_xlpm.qty,_xlfn._xlws.FILTER('Tarifler ve Verim'!$E$5:$E$26,'Tarifler ve Verim'!$A$5:$A$26=_xlpm.prod),_xlpm.sup,_xlfn.IFNA(_xlfn.XLOOKUP(_xlpm.ing,'Sarf ve Ambalaj'!$A$5:$A$12,'Sarf ve Ambalaj'!$F$5:$F$12),0),SUMPRODUCT(_xlpm.qty,_xlpm.sup)+IF(S48="Kavanoz",J48*(19+$B$9),0))</f>
        <v>74.4969696969697</v>
      </c>
      <c r="O48" s="23" cm="1">
        <f t="array" ref="O48">_xlfn.LET(_xlpm.prod,$B48,_xlpm.ing,_xlfn._xlws.FILTER('Tarifler ve Verim'!$D$5:$D$26,'Tarifler ve Verim'!$A$5:$A$26=_xlpm.prod),_xlpm.qty,_xlfn._xlws.FILTER('Tarifler ve Verim'!$E$5:$E$26,'Tarifler ve Verim'!$A$5:$A$26=_xlpm.prod),_xlpm.sup,_xlfn.IFNA(_xlfn.XLOOKUP(_xlpm.ing,'Sarf ve Ambalaj'!$A$5:$A$12,'Sarf ve Ambalaj'!$F$5:$F$12),0),SUMPRODUCT(_xlpm.qty,_xlpm.sup)+IF(S48="Kavanoz",J48*(0+$B$9),0))</f>
        <v>16.921212121212122</v>
      </c>
      <c r="P48" s="23" cm="1">
        <f t="array" ref="P48">INDEX(_xlfn._xlws.FILTER('Tarifler ve Verim'!$H$5:$H$26,'Tarifler ve Verim'!$A$5:$A$26=$B48),1)*$B$10*$B$11</f>
        <v>22.5</v>
      </c>
      <c r="Q48" s="23" cm="1">
        <f t="array" ref="Q48">INDEX(_xlfn._xlws.FILTER('Tarifler ve Verim'!$G$5:$G$26,'Tarifler ve Verim'!$A$5:$A$26=$B48),1)</f>
        <v>2</v>
      </c>
      <c r="R48" s="24" cm="1">
        <f t="array" ref="R48">INDEX(_xlfn._xlws.FILTER('Tarifler ve Verim'!$I$5:$I$26,'Tarifler ve Verim'!$A$5:$A$26=$B48),1)</f>
        <v>3.5</v>
      </c>
      <c r="S48" s="49" t="str" cm="1">
        <f t="array" ref="S48">INDEX(_xlfn._xlws.FILTER('Tarifler ve Verim'!$C$5:$C$26,'Tarifler ve Verim'!$A$5:$A$26=$B48),1)</f>
        <v>Kavanoz</v>
      </c>
    </row>
    <row r="49" spans="1:19">
      <c r="A49" s="39" t="s">
        <v>136</v>
      </c>
      <c r="B49" s="19" t="s">
        <v>70</v>
      </c>
      <c r="C49" s="23">
        <f>(M49+N49+P49)/J49</f>
        <v>52.549142857142854</v>
      </c>
      <c r="D49" s="25">
        <f>(C49-K49)/K49</f>
        <v>-0.22124497828723177</v>
      </c>
      <c r="E49" s="25">
        <f>(C49-L49)/L49</f>
        <v>-0.50757676158133824</v>
      </c>
      <c r="F49" s="23">
        <f>(M49+O49+P49)/J49</f>
        <v>33.549142857142861</v>
      </c>
      <c r="G49" s="25">
        <f>(F49-K49)/K49</f>
        <v>-0.5028165626757175</v>
      </c>
      <c r="H49" s="25">
        <f>(F49-L49)/L49</f>
        <v>-0.68562041788586414</v>
      </c>
      <c r="I49" s="23">
        <f>C49-F49</f>
        <v>18.999999999999993</v>
      </c>
      <c r="J49" s="24">
        <f>Q49/$B$7</f>
        <v>10.606060606060606</v>
      </c>
      <c r="K49" s="23">
        <f>_xlfn.MINIFS('Market Rafı'!$E$5:$E$14,'Market Rafı'!$A$5:$A$14,$B49)*$B$7</f>
        <v>67.478399999999993</v>
      </c>
      <c r="L49" s="23">
        <f>_xlfn.MAXIFS('Market Rafı'!$E$5:$E$14,'Market Rafı'!$A$5:$A$14,$B49)*$B$7</f>
        <v>106.7154</v>
      </c>
      <c r="M49" s="23" cm="1">
        <f t="array" ref="M49">_xlfn.LET(_xlpm.prod,$B49,_xlpm.src,$A49,_xlpm.ing,_xlfn._xlws.FILTER('Tarifler ve Verim'!$D$5:$D$26,'Tarifler ve Verim'!$A$5:$A$26=_xlpm.prod),_xlpm.qty,_xlfn._xlws.FILTER('Tarifler ve Verim'!$E$5:$E$26,'Tarifler ve Verim'!$A$5:$A$26=_xlpm.prod),_xlpm.price,_xlfn.IFNA(_xlfn.XLOOKUP(_xlpm.ing,'Malzeme Fiyatları'!$A$5:$A$17,CHOOSE(MATCH(_xlpm.src,{"Hal ortalaması","Pazar kasa","Pazar perakende","Market"},0),'Malzeme Fiyatları'!$D$5:$D$17,'Malzeme Fiyatları'!$E$5:$E$17,'Malzeme Fiyatları'!$F$5:$F$17,'Malzeme Fiyatları'!$G$5:$G$17)),0),SUMPRODUCT(_xlpm.qty,_xlpm.price))</f>
        <v>266.89999999999998</v>
      </c>
      <c r="N49" s="23" cm="1">
        <f t="array" ref="N49">_xlfn.LET(_xlpm.prod,$B49,_xlpm.ing,_xlfn._xlws.FILTER('Tarifler ve Verim'!$D$5:$D$26,'Tarifler ve Verim'!$A$5:$A$26=_xlpm.prod),_xlpm.qty,_xlfn._xlws.FILTER('Tarifler ve Verim'!$E$5:$E$26,'Tarifler ve Verim'!$A$5:$A$26=_xlpm.prod),_xlpm.sup,_xlfn.IFNA(_xlfn.XLOOKUP(_xlpm.ing,'Sarf ve Ambalaj'!$A$5:$A$12,'Sarf ve Ambalaj'!$F$5:$F$12),0),SUMPRODUCT(_xlpm.qty,_xlpm.sup)+IF(S49="Kavanoz",J49*(19+$B$9),0))</f>
        <v>285.93939393939394</v>
      </c>
      <c r="O49" s="23" cm="1">
        <f t="array" ref="O49">_xlfn.LET(_xlpm.prod,$B49,_xlpm.ing,_xlfn._xlws.FILTER('Tarifler ve Verim'!$D$5:$D$26,'Tarifler ve Verim'!$A$5:$A$26=_xlpm.prod),_xlpm.qty,_xlfn._xlws.FILTER('Tarifler ve Verim'!$E$5:$E$26,'Tarifler ve Verim'!$A$5:$A$26=_xlpm.prod),_xlpm.sup,_xlfn.IFNA(_xlfn.XLOOKUP(_xlpm.ing,'Sarf ve Ambalaj'!$A$5:$A$12,'Sarf ve Ambalaj'!$F$5:$F$12),0),SUMPRODUCT(_xlpm.qty,_xlpm.sup)+IF(S49="Kavanoz",J49*(0+$B$9),0))</f>
        <v>84.424242424242422</v>
      </c>
      <c r="P49" s="23" cm="1">
        <f t="array" ref="P49">INDEX(_xlfn._xlws.FILTER('Tarifler ve Verim'!$H$5:$H$26,'Tarifler ve Verim'!$A$5:$A$26=$B49),1)*$B$10*$B$11</f>
        <v>4.5</v>
      </c>
      <c r="Q49" s="23" cm="1">
        <f t="array" ref="Q49">INDEX(_xlfn._xlws.FILTER('Tarifler ve Verim'!$G$5:$G$26,'Tarifler ve Verim'!$A$5:$A$26=$B49),1)</f>
        <v>7</v>
      </c>
      <c r="R49" s="24" cm="1">
        <f t="array" ref="R49">INDEX(_xlfn._xlws.FILTER('Tarifler ve Verim'!$I$5:$I$26,'Tarifler ve Verim'!$A$5:$A$26=$B49),1)</f>
        <v>2</v>
      </c>
      <c r="S49" s="49" t="str" cm="1">
        <f t="array" ref="S49">INDEX(_xlfn._xlws.FILTER('Tarifler ve Verim'!$C$5:$C$26,'Tarifler ve Verim'!$A$5:$A$26=$B49),1)</f>
        <v>Kavanoz</v>
      </c>
    </row>
    <row r="50" spans="1:19">
      <c r="A50" s="39" t="s">
        <v>136</v>
      </c>
      <c r="B50" s="19" t="s">
        <v>73</v>
      </c>
      <c r="C50" s="23">
        <f>(M50+N50+P50)/J50</f>
        <v>101.87888461538462</v>
      </c>
      <c r="D50" s="25">
        <f>(C50-K50)/K50</f>
        <v>-0.2173902535644576</v>
      </c>
      <c r="E50" s="25">
        <f>(C50-L50)/L50</f>
        <v>-0.41313938947288747</v>
      </c>
      <c r="F50" s="23">
        <f>(M50+O50+P50)/J50</f>
        <v>82.878884615384621</v>
      </c>
      <c r="G50" s="25">
        <f>(F50-K50)/K50</f>
        <v>-0.36334380653484283</v>
      </c>
      <c r="H50" s="25">
        <f>(F50-L50)/L50</f>
        <v>-0.52258652017234686</v>
      </c>
      <c r="I50" s="23">
        <f>C50-F50</f>
        <v>19</v>
      </c>
      <c r="J50" s="24">
        <f>Q50/$B$7</f>
        <v>7.8787878787878789</v>
      </c>
      <c r="K50" s="23">
        <f>_xlfn.MINIFS('Market Rafı'!$E$5:$E$14,'Market Rafı'!$A$5:$A$14,$B50)*$B$7</f>
        <v>130.17840000000001</v>
      </c>
      <c r="L50" s="23">
        <f>_xlfn.MAXIFS('Market Rafı'!$E$5:$E$14,'Market Rafı'!$A$5:$A$14,$B50)*$B$7</f>
        <v>173.59979999999999</v>
      </c>
      <c r="M50" s="23" cm="1">
        <f t="array" ref="M50">_xlfn.LET(_xlpm.prod,$B50,_xlpm.src,$A50,_xlpm.ing,_xlfn._xlws.FILTER('Tarifler ve Verim'!$D$5:$D$26,'Tarifler ve Verim'!$A$5:$A$26=_xlpm.prod),_xlpm.qty,_xlfn._xlws.FILTER('Tarifler ve Verim'!$E$5:$E$26,'Tarifler ve Verim'!$A$5:$A$26=_xlpm.prod),_xlpm.price,_xlfn.IFNA(_xlfn.XLOOKUP(_xlpm.ing,'Malzeme Fiyatları'!$A$5:$A$17,CHOOSE(MATCH(_xlpm.src,{"Hal ortalaması","Pazar kasa","Pazar perakende","Market"},0),'Malzeme Fiyatları'!$D$5:$D$17,'Malzeme Fiyatları'!$E$5:$E$17,'Malzeme Fiyatları'!$F$5:$F$17,'Malzeme Fiyatları'!$G$5:$G$17)),0),SUMPRODUCT(_xlpm.qty,_xlpm.price))</f>
        <v>482</v>
      </c>
      <c r="N50" s="23" cm="1">
        <f t="array" ref="N50">_xlfn.LET(_xlpm.prod,$B50,_xlpm.ing,_xlfn._xlws.FILTER('Tarifler ve Verim'!$D$5:$D$26,'Tarifler ve Verim'!$A$5:$A$26=_xlpm.prod),_xlpm.qty,_xlfn._xlws.FILTER('Tarifler ve Verim'!$E$5:$E$26,'Tarifler ve Verim'!$A$5:$A$26=_xlpm.prod),_xlpm.sup,_xlfn.IFNA(_xlfn.XLOOKUP(_xlpm.ing,'Sarf ve Ambalaj'!$A$5:$A$12,'Sarf ve Ambalaj'!$F$5:$F$12),0),SUMPRODUCT(_xlpm.qty,_xlpm.sup)+IF(S50="Kavanoz",J50*(19+$B$9),0))</f>
        <v>307.18212121212122</v>
      </c>
      <c r="O50" s="23" cm="1">
        <f t="array" ref="O50">_xlfn.LET(_xlpm.prod,$B50,_xlpm.ing,_xlfn._xlws.FILTER('Tarifler ve Verim'!$D$5:$D$26,'Tarifler ve Verim'!$A$5:$A$26=_xlpm.prod),_xlpm.qty,_xlfn._xlws.FILTER('Tarifler ve Verim'!$E$5:$E$26,'Tarifler ve Verim'!$A$5:$A$26=_xlpm.prod),_xlpm.sup,_xlfn.IFNA(_xlfn.XLOOKUP(_xlpm.ing,'Sarf ve Ambalaj'!$A$5:$A$12,'Sarf ve Ambalaj'!$F$5:$F$12),0),SUMPRODUCT(_xlpm.qty,_xlpm.sup)+IF(S50="Kavanoz",J50*(0+$B$9),0))</f>
        <v>157.48515151515153</v>
      </c>
      <c r="P50" s="23" cm="1">
        <f t="array" ref="P50">INDEX(_xlfn._xlws.FILTER('Tarifler ve Verim'!$H$5:$H$26,'Tarifler ve Verim'!$A$5:$A$26=$B50),1)*$B$10*$B$11</f>
        <v>13.5</v>
      </c>
      <c r="Q50" s="23" cm="1">
        <f t="array" ref="Q50">INDEX(_xlfn._xlws.FILTER('Tarifler ve Verim'!$G$5:$G$26,'Tarifler ve Verim'!$A$5:$A$26=$B50),1)</f>
        <v>5.2</v>
      </c>
      <c r="R50" s="24" cm="1">
        <f t="array" ref="R50">INDEX(_xlfn._xlws.FILTER('Tarifler ve Verim'!$I$5:$I$26,'Tarifler ve Verim'!$A$5:$A$26=$B50),1)</f>
        <v>2</v>
      </c>
      <c r="S50" s="49" t="str" cm="1">
        <f t="array" ref="S50">INDEX(_xlfn._xlws.FILTER('Tarifler ve Verim'!$C$5:$C$26,'Tarifler ve Verim'!$A$5:$A$26=$B50),1)</f>
        <v>Kavanoz</v>
      </c>
    </row>
    <row r="51" spans="1:19">
      <c r="A51" s="39" t="s">
        <v>136</v>
      </c>
      <c r="B51" s="19" t="s">
        <v>76</v>
      </c>
      <c r="C51" s="23">
        <f>(M51+N51+P51)/J51</f>
        <v>132.2475</v>
      </c>
      <c r="D51" s="25">
        <f>(C51-K51)/K51</f>
        <v>-0.27896725440806042</v>
      </c>
      <c r="E51" s="25">
        <f>(C51-L51)/L51</f>
        <v>-0.36550031665611155</v>
      </c>
      <c r="F51" s="23">
        <f>(M51+O51+P51)/J51</f>
        <v>132.2475</v>
      </c>
      <c r="G51" s="25">
        <f>(F51-K51)/K51</f>
        <v>-0.27896725440806042</v>
      </c>
      <c r="H51" s="25">
        <f>(F51-L51)/L51</f>
        <v>-0.36550031665611155</v>
      </c>
      <c r="I51" s="23">
        <f>C51-F51</f>
        <v>0</v>
      </c>
      <c r="J51" s="24">
        <f>Q51/$B$7</f>
        <v>6.0606060606060606</v>
      </c>
      <c r="K51" s="23">
        <f>_xlfn.MINIFS('Market Rafı'!$E$5:$E$14,'Market Rafı'!$A$5:$A$14,$B51)*$B$7</f>
        <v>183.41399999999999</v>
      </c>
      <c r="L51" s="23">
        <f>_xlfn.MAXIFS('Market Rafı'!$E$5:$E$14,'Market Rafı'!$A$5:$A$14,$B51)*$B$7</f>
        <v>208.42800000000003</v>
      </c>
      <c r="M51" s="23" cm="1">
        <f t="array" ref="M51">_xlfn.LET(_xlpm.prod,$B51,_xlpm.src,$A51,_xlpm.ing,_xlfn._xlws.FILTER('Tarifler ve Verim'!$D$5:$D$26,'Tarifler ve Verim'!$A$5:$A$26=_xlpm.prod),_xlpm.qty,_xlfn._xlws.FILTER('Tarifler ve Verim'!$E$5:$E$26,'Tarifler ve Verim'!$A$5:$A$26=_xlpm.prod),_xlpm.price,_xlfn.IFNA(_xlfn.XLOOKUP(_xlpm.ing,'Malzeme Fiyatları'!$A$5:$A$17,CHOOSE(MATCH(_xlpm.src,{"Hal ortalaması","Pazar kasa","Pazar perakende","Market"},0),'Malzeme Fiyatları'!$D$5:$D$17,'Malzeme Fiyatları'!$E$5:$E$17,'Malzeme Fiyatları'!$F$5:$F$17,'Malzeme Fiyatları'!$G$5:$G$17)),0),SUMPRODUCT(_xlpm.qty,_xlpm.price))</f>
        <v>507.5</v>
      </c>
      <c r="N51" s="23" cm="1">
        <f t="array" ref="N51">_xlfn.LET(_xlpm.prod,$B51,_xlpm.ing,_xlfn._xlws.FILTER('Tarifler ve Verim'!$D$5:$D$26,'Tarifler ve Verim'!$A$5:$A$26=_xlpm.prod),_xlpm.qty,_xlfn._xlws.FILTER('Tarifler ve Verim'!$E$5:$E$26,'Tarifler ve Verim'!$A$5:$A$26=_xlpm.prod),_xlpm.sup,_xlfn.IFNA(_xlfn.XLOOKUP(_xlpm.ing,'Sarf ve Ambalaj'!$A$5:$A$12,'Sarf ve Ambalaj'!$F$5:$F$12),0),SUMPRODUCT(_xlpm.qty,_xlpm.sup)+IF(S51="Kavanoz",J51*(19+$B$9),0))</f>
        <v>276</v>
      </c>
      <c r="O51" s="23" cm="1">
        <f t="array" ref="O51">_xlfn.LET(_xlpm.prod,$B51,_xlpm.ing,_xlfn._xlws.FILTER('Tarifler ve Verim'!$D$5:$D$26,'Tarifler ve Verim'!$A$5:$A$26=_xlpm.prod),_xlpm.qty,_xlfn._xlws.FILTER('Tarifler ve Verim'!$E$5:$E$26,'Tarifler ve Verim'!$A$5:$A$26=_xlpm.prod),_xlpm.sup,_xlfn.IFNA(_xlfn.XLOOKUP(_xlpm.ing,'Sarf ve Ambalaj'!$A$5:$A$12,'Sarf ve Ambalaj'!$F$5:$F$12),0),SUMPRODUCT(_xlpm.qty,_xlpm.sup)+IF(S51="Kavanoz",J51*(0+$B$9),0))</f>
        <v>276</v>
      </c>
      <c r="P51" s="23" cm="1">
        <f t="array" ref="P51">INDEX(_xlfn._xlws.FILTER('Tarifler ve Verim'!$H$5:$H$26,'Tarifler ve Verim'!$A$5:$A$26=$B51),1)*$B$10*$B$11</f>
        <v>18</v>
      </c>
      <c r="Q51" s="23" cm="1">
        <f t="array" ref="Q51">INDEX(_xlfn._xlws.FILTER('Tarifler ve Verim'!$G$5:$G$26,'Tarifler ve Verim'!$A$5:$A$26=$B51),1)</f>
        <v>4</v>
      </c>
      <c r="R51" s="24" cm="1">
        <f t="array" ref="R51">INDEX(_xlfn._xlws.FILTER('Tarifler ve Verim'!$I$5:$I$26,'Tarifler ve Verim'!$A$5:$A$26=$B51),1)</f>
        <v>6</v>
      </c>
      <c r="S51" s="49" t="str" cm="1">
        <f t="array" ref="S51">INDEX(_xlfn._xlws.FILTER('Tarifler ve Verim'!$C$5:$C$26,'Tarifler ve Verim'!$A$5:$A$26=$B51),1)</f>
        <v>Bez torba</v>
      </c>
    </row>
    <row r="52" spans="1:19">
      <c r="A52" s="39" t="s">
        <v>236</v>
      </c>
      <c r="B52" s="19" t="s">
        <v>63</v>
      </c>
      <c r="C52" s="23">
        <f>(M52+N52+P52)/J52</f>
        <v>226.77500000000001</v>
      </c>
      <c r="D52" s="25">
        <f>(C52-K52)/K52</f>
        <v>4.0971441158357047</v>
      </c>
      <c r="E52" s="25">
        <f>(C52-L52)/L52</f>
        <v>0.76830057561877829</v>
      </c>
      <c r="F52" s="23">
        <f>(M52+O52+P52)/J52</f>
        <v>207.77500000000001</v>
      </c>
      <c r="G52" s="25">
        <f>(F52-K52)/K52</f>
        <v>3.6700876140128478</v>
      </c>
      <c r="H52" s="25">
        <f>(F52-L52)/L52</f>
        <v>0.62014618939121002</v>
      </c>
      <c r="I52" s="23">
        <f>C52-F52</f>
        <v>19</v>
      </c>
      <c r="J52" s="24">
        <f>Q52/$B$7</f>
        <v>1.8181818181818181</v>
      </c>
      <c r="K52" s="23">
        <f>_xlfn.MINIFS('Market Rafı'!$E$5:$E$14,'Market Rafı'!$A$5:$A$14,$B52)*$B$7</f>
        <v>44.490600000000001</v>
      </c>
      <c r="L52" s="23">
        <f>_xlfn.MAXIFS('Market Rafı'!$E$5:$E$14,'Market Rafı'!$A$5:$A$14,$B52)*$B$7</f>
        <v>128.24460000000002</v>
      </c>
      <c r="M52" s="23" cm="1">
        <f t="array" ref="M52">_xlfn.LET(_xlpm.prod,$B52,_xlpm.src,$A52,_xlpm.ing,_xlfn._xlws.FILTER('Tarifler ve Verim'!$D$5:$D$26,'Tarifler ve Verim'!$A$5:$A$26=_xlpm.prod),_xlpm.qty,_xlfn._xlws.FILTER('Tarifler ve Verim'!$E$5:$E$26,'Tarifler ve Verim'!$A$5:$A$26=_xlpm.prod),_xlpm.price,_xlfn.IFNA(_xlfn.XLOOKUP(_xlpm.ing,'Malzeme Fiyatları'!$A$5:$A$17,CHOOSE(MATCH(_xlpm.src,{"Hal ortalaması","Pazar kasa","Pazar perakende","Market"},0),'Malzeme Fiyatları'!$D$5:$D$17,'Malzeme Fiyatları'!$E$5:$E$17,'Malzeme Fiyatları'!$F$5:$F$17,'Malzeme Fiyatları'!$G$5:$G$17)),0),SUMPRODUCT(_xlpm.qty,_xlpm.price))</f>
        <v>339.5</v>
      </c>
      <c r="N52" s="23" cm="1">
        <f t="array" ref="N52">_xlfn.LET(_xlpm.prod,$B52,_xlpm.ing,_xlfn._xlws.FILTER('Tarifler ve Verim'!$D$5:$D$26,'Tarifler ve Verim'!$A$5:$A$26=_xlpm.prod),_xlpm.qty,_xlfn._xlws.FILTER('Tarifler ve Verim'!$E$5:$E$26,'Tarifler ve Verim'!$A$5:$A$26=_xlpm.prod),_xlpm.sup,_xlfn.IFNA(_xlfn.XLOOKUP(_xlpm.ing,'Sarf ve Ambalaj'!$A$5:$A$12,'Sarf ve Ambalaj'!$F$5:$F$12),0),SUMPRODUCT(_xlpm.qty,_xlpm.sup)+IF(S52="Kavanoz",J52*(19+$B$9),0))</f>
        <v>45.81818181818182</v>
      </c>
      <c r="O52" s="23" cm="1">
        <f t="array" ref="O52">_xlfn.LET(_xlpm.prod,$B52,_xlpm.ing,_xlfn._xlws.FILTER('Tarifler ve Verim'!$D$5:$D$26,'Tarifler ve Verim'!$A$5:$A$26=_xlpm.prod),_xlpm.qty,_xlfn._xlws.FILTER('Tarifler ve Verim'!$E$5:$E$26,'Tarifler ve Verim'!$A$5:$A$26=_xlpm.prod),_xlpm.sup,_xlfn.IFNA(_xlfn.XLOOKUP(_xlpm.ing,'Sarf ve Ambalaj'!$A$5:$A$12,'Sarf ve Ambalaj'!$F$5:$F$12),0),SUMPRODUCT(_xlpm.qty,_xlpm.sup)+IF(S52="Kavanoz",J52*(0+$B$9),0))</f>
        <v>11.272727272727273</v>
      </c>
      <c r="P52" s="23" cm="1">
        <f t="array" ref="P52">INDEX(_xlfn._xlws.FILTER('Tarifler ve Verim'!$H$5:$H$26,'Tarifler ve Verim'!$A$5:$A$26=$B52),1)*$B$10*$B$11</f>
        <v>27</v>
      </c>
      <c r="Q52" s="23" cm="1">
        <f t="array" ref="Q52">INDEX(_xlfn._xlws.FILTER('Tarifler ve Verim'!$G$5:$G$26,'Tarifler ve Verim'!$A$5:$A$26=$B52),1)</f>
        <v>1.2</v>
      </c>
      <c r="R52" s="24" cm="1">
        <f t="array" ref="R52">INDEX(_xlfn._xlws.FILTER('Tarifler ve Verim'!$I$5:$I$26,'Tarifler ve Verim'!$A$5:$A$26=$B52),1)</f>
        <v>3</v>
      </c>
      <c r="S52" s="49" t="str" cm="1">
        <f t="array" ref="S52">INDEX(_xlfn._xlws.FILTER('Tarifler ve Verim'!$C$5:$C$26,'Tarifler ve Verim'!$A$5:$A$26=$B52),1)</f>
        <v>Kavanoz</v>
      </c>
    </row>
    <row r="53" spans="1:19">
      <c r="A53" s="39" t="s">
        <v>236</v>
      </c>
      <c r="B53" s="19" t="s">
        <v>67</v>
      </c>
      <c r="C53" s="23">
        <f>(M53+N53+P53)/J53</f>
        <v>304.25900000000001</v>
      </c>
      <c r="D53" s="25">
        <f>(C53-K53)/K53</f>
        <v>3.0364108646220545</v>
      </c>
      <c r="E53" s="25">
        <f>(C53-L53)/L53</f>
        <v>0.69086885581163771</v>
      </c>
      <c r="F53" s="23">
        <f>(M53+O53+P53)/J53</f>
        <v>285.25900000000001</v>
      </c>
      <c r="G53" s="25">
        <f>(F53-K53)/K53</f>
        <v>2.7843499348621492</v>
      </c>
      <c r="H53" s="25">
        <f>(F53-L53)/L53</f>
        <v>0.58527951166595549</v>
      </c>
      <c r="I53" s="23">
        <f>C53-F53</f>
        <v>19</v>
      </c>
      <c r="J53" s="24">
        <f>Q53/$B$7</f>
        <v>3.0303030303030303</v>
      </c>
      <c r="K53" s="23">
        <f>_xlfn.MINIFS('Market Rafı'!$E$5:$E$14,'Market Rafı'!$A$5:$A$14,$B53)*$B$7</f>
        <v>75.378600000000006</v>
      </c>
      <c r="L53" s="23">
        <f>_xlfn.MAXIFS('Market Rafı'!$E$5:$E$14,'Market Rafı'!$A$5:$A$14,$B53)*$B$7</f>
        <v>179.94239999999999</v>
      </c>
      <c r="M53" s="23" cm="1">
        <f t="array" ref="M53">_xlfn.LET(_xlpm.prod,$B53,_xlpm.src,$A53,_xlpm.ing,_xlfn._xlws.FILTER('Tarifler ve Verim'!$D$5:$D$26,'Tarifler ve Verim'!$A$5:$A$26=_xlpm.prod),_xlpm.qty,_xlfn._xlws.FILTER('Tarifler ve Verim'!$E$5:$E$26,'Tarifler ve Verim'!$A$5:$A$26=_xlpm.prod),_xlpm.price,_xlfn.IFNA(_xlfn.XLOOKUP(_xlpm.ing,'Malzeme Fiyatları'!$A$5:$A$17,CHOOSE(MATCH(_xlpm.src,{"Hal ortalaması","Pazar kasa","Pazar perakende","Market"},0),'Malzeme Fiyatları'!$D$5:$D$17,'Malzeme Fiyatları'!$E$5:$E$17,'Malzeme Fiyatları'!$F$5:$F$17,'Malzeme Fiyatları'!$G$5:$G$17)),0),SUMPRODUCT(_xlpm.qty,_xlpm.price))</f>
        <v>825</v>
      </c>
      <c r="N53" s="23" cm="1">
        <f t="array" ref="N53">_xlfn.LET(_xlpm.prod,$B53,_xlpm.ing,_xlfn._xlws.FILTER('Tarifler ve Verim'!$D$5:$D$26,'Tarifler ve Verim'!$A$5:$A$26=_xlpm.prod),_xlpm.qty,_xlfn._xlws.FILTER('Tarifler ve Verim'!$E$5:$E$26,'Tarifler ve Verim'!$A$5:$A$26=_xlpm.prod),_xlpm.sup,_xlfn.IFNA(_xlfn.XLOOKUP(_xlpm.ing,'Sarf ve Ambalaj'!$A$5:$A$12,'Sarf ve Ambalaj'!$F$5:$F$12),0),SUMPRODUCT(_xlpm.qty,_xlpm.sup)+IF(S53="Kavanoz",J53*(19+$B$9),0))</f>
        <v>74.4969696969697</v>
      </c>
      <c r="O53" s="23" cm="1">
        <f t="array" ref="O53">_xlfn.LET(_xlpm.prod,$B53,_xlpm.ing,_xlfn._xlws.FILTER('Tarifler ve Verim'!$D$5:$D$26,'Tarifler ve Verim'!$A$5:$A$26=_xlpm.prod),_xlpm.qty,_xlfn._xlws.FILTER('Tarifler ve Verim'!$E$5:$E$26,'Tarifler ve Verim'!$A$5:$A$26=_xlpm.prod),_xlpm.sup,_xlfn.IFNA(_xlfn.XLOOKUP(_xlpm.ing,'Sarf ve Ambalaj'!$A$5:$A$12,'Sarf ve Ambalaj'!$F$5:$F$12),0),SUMPRODUCT(_xlpm.qty,_xlpm.sup)+IF(S53="Kavanoz",J53*(0+$B$9),0))</f>
        <v>16.921212121212122</v>
      </c>
      <c r="P53" s="23" cm="1">
        <f t="array" ref="P53">INDEX(_xlfn._xlws.FILTER('Tarifler ve Verim'!$H$5:$H$26,'Tarifler ve Verim'!$A$5:$A$26=$B53),1)*$B$10*$B$11</f>
        <v>22.5</v>
      </c>
      <c r="Q53" s="23" cm="1">
        <f t="array" ref="Q53">INDEX(_xlfn._xlws.FILTER('Tarifler ve Verim'!$G$5:$G$26,'Tarifler ve Verim'!$A$5:$A$26=$B53),1)</f>
        <v>2</v>
      </c>
      <c r="R53" s="24" cm="1">
        <f t="array" ref="R53">INDEX(_xlfn._xlws.FILTER('Tarifler ve Verim'!$I$5:$I$26,'Tarifler ve Verim'!$A$5:$A$26=$B53),1)</f>
        <v>3.5</v>
      </c>
      <c r="S53" s="49" t="str" cm="1">
        <f t="array" ref="S53">INDEX(_xlfn._xlws.FILTER('Tarifler ve Verim'!$C$5:$C$26,'Tarifler ve Verim'!$A$5:$A$26=$B53),1)</f>
        <v>Kavanoz</v>
      </c>
    </row>
    <row r="54" spans="1:19">
      <c r="A54" s="39" t="s">
        <v>236</v>
      </c>
      <c r="B54" s="19" t="s">
        <v>70</v>
      </c>
      <c r="C54" s="23">
        <f>(M54+N54+P54)/J54</f>
        <v>57.222414285714287</v>
      </c>
      <c r="D54" s="25">
        <f>(C54-K54)/K54</f>
        <v>-0.15198916563353174</v>
      </c>
      <c r="E54" s="25">
        <f>(C54-L54)/L54</f>
        <v>-0.46378484936837339</v>
      </c>
      <c r="F54" s="23">
        <f>(M54+O54+P54)/J54</f>
        <v>38.222414285714287</v>
      </c>
      <c r="G54" s="25">
        <f>(F54-K54)/K54</f>
        <v>-0.43356075002201755</v>
      </c>
      <c r="H54" s="25">
        <f>(F54-L54)/L54</f>
        <v>-0.64182850567289917</v>
      </c>
      <c r="I54" s="23">
        <f>C54-F54</f>
        <v>19</v>
      </c>
      <c r="J54" s="24">
        <f>Q54/$B$7</f>
        <v>10.606060606060606</v>
      </c>
      <c r="K54" s="23">
        <f>_xlfn.MINIFS('Market Rafı'!$E$5:$E$14,'Market Rafı'!$A$5:$A$14,$B54)*$B$7</f>
        <v>67.478399999999993</v>
      </c>
      <c r="L54" s="23">
        <f>_xlfn.MAXIFS('Market Rafı'!$E$5:$E$14,'Market Rafı'!$A$5:$A$14,$B54)*$B$7</f>
        <v>106.7154</v>
      </c>
      <c r="M54" s="23" cm="1">
        <f t="array" ref="M54">_xlfn.LET(_xlpm.prod,$B54,_xlpm.src,$A54,_xlpm.ing,_xlfn._xlws.FILTER('Tarifler ve Verim'!$D$5:$D$26,'Tarifler ve Verim'!$A$5:$A$26=_xlpm.prod),_xlpm.qty,_xlfn._xlws.FILTER('Tarifler ve Verim'!$E$5:$E$26,'Tarifler ve Verim'!$A$5:$A$26=_xlpm.prod),_xlpm.price,_xlfn.IFNA(_xlfn.XLOOKUP(_xlpm.ing,'Malzeme Fiyatları'!$A$5:$A$17,CHOOSE(MATCH(_xlpm.src,{"Hal ortalaması","Pazar kasa","Pazar perakende","Market"},0),'Malzeme Fiyatları'!$D$5:$D$17,'Malzeme Fiyatları'!$E$5:$E$17,'Malzeme Fiyatları'!$F$5:$F$17,'Malzeme Fiyatları'!$G$5:$G$17)),0),SUMPRODUCT(_xlpm.qty,_xlpm.price))</f>
        <v>316.46499999999997</v>
      </c>
      <c r="N54" s="23" cm="1">
        <f t="array" ref="N54">_xlfn.LET(_xlpm.prod,$B54,_xlpm.ing,_xlfn._xlws.FILTER('Tarifler ve Verim'!$D$5:$D$26,'Tarifler ve Verim'!$A$5:$A$26=_xlpm.prod),_xlpm.qty,_xlfn._xlws.FILTER('Tarifler ve Verim'!$E$5:$E$26,'Tarifler ve Verim'!$A$5:$A$26=_xlpm.prod),_xlpm.sup,_xlfn.IFNA(_xlfn.XLOOKUP(_xlpm.ing,'Sarf ve Ambalaj'!$A$5:$A$12,'Sarf ve Ambalaj'!$F$5:$F$12),0),SUMPRODUCT(_xlpm.qty,_xlpm.sup)+IF(S54="Kavanoz",J54*(19+$B$9),0))</f>
        <v>285.93939393939394</v>
      </c>
      <c r="O54" s="23" cm="1">
        <f t="array" ref="O54">_xlfn.LET(_xlpm.prod,$B54,_xlpm.ing,_xlfn._xlws.FILTER('Tarifler ve Verim'!$D$5:$D$26,'Tarifler ve Verim'!$A$5:$A$26=_xlpm.prod),_xlpm.qty,_xlfn._xlws.FILTER('Tarifler ve Verim'!$E$5:$E$26,'Tarifler ve Verim'!$A$5:$A$26=_xlpm.prod),_xlpm.sup,_xlfn.IFNA(_xlfn.XLOOKUP(_xlpm.ing,'Sarf ve Ambalaj'!$A$5:$A$12,'Sarf ve Ambalaj'!$F$5:$F$12),0),SUMPRODUCT(_xlpm.qty,_xlpm.sup)+IF(S54="Kavanoz",J54*(0+$B$9),0))</f>
        <v>84.424242424242422</v>
      </c>
      <c r="P54" s="23" cm="1">
        <f t="array" ref="P54">INDEX(_xlfn._xlws.FILTER('Tarifler ve Verim'!$H$5:$H$26,'Tarifler ve Verim'!$A$5:$A$26=$B54),1)*$B$10*$B$11</f>
        <v>4.5</v>
      </c>
      <c r="Q54" s="23" cm="1">
        <f t="array" ref="Q54">INDEX(_xlfn._xlws.FILTER('Tarifler ve Verim'!$G$5:$G$26,'Tarifler ve Verim'!$A$5:$A$26=$B54),1)</f>
        <v>7</v>
      </c>
      <c r="R54" s="24" cm="1">
        <f t="array" ref="R54">INDEX(_xlfn._xlws.FILTER('Tarifler ve Verim'!$I$5:$I$26,'Tarifler ve Verim'!$A$5:$A$26=$B54),1)</f>
        <v>2</v>
      </c>
      <c r="S54" s="49" t="str" cm="1">
        <f t="array" ref="S54">INDEX(_xlfn._xlws.FILTER('Tarifler ve Verim'!$C$5:$C$26,'Tarifler ve Verim'!$A$5:$A$26=$B54),1)</f>
        <v>Kavanoz</v>
      </c>
    </row>
    <row r="55" spans="1:19">
      <c r="A55" s="39" t="s">
        <v>236</v>
      </c>
      <c r="B55" s="19" t="s">
        <v>73</v>
      </c>
      <c r="C55" s="23">
        <f>(M55+N55+P55)/J55</f>
        <v>108.70734615384616</v>
      </c>
      <c r="D55" s="25">
        <f>(C55-K55)/K55</f>
        <v>-0.16493561025603209</v>
      </c>
      <c r="E55" s="25">
        <f>(C55-L55)/L55</f>
        <v>-0.37380488828992792</v>
      </c>
      <c r="F55" s="23">
        <f>(M55+O55+P55)/J55</f>
        <v>89.707346153846146</v>
      </c>
      <c r="G55" s="25">
        <f>(F55-K55)/K55</f>
        <v>-0.31088916322641746</v>
      </c>
      <c r="H55" s="25">
        <f>(F55-L55)/L55</f>
        <v>-0.48325201898938736</v>
      </c>
      <c r="I55" s="23">
        <f>C55-F55</f>
        <v>19.000000000000014</v>
      </c>
      <c r="J55" s="24">
        <f>Q55/$B$7</f>
        <v>7.8787878787878789</v>
      </c>
      <c r="K55" s="23">
        <f>_xlfn.MINIFS('Market Rafı'!$E$5:$E$14,'Market Rafı'!$A$5:$A$14,$B55)*$B$7</f>
        <v>130.17840000000001</v>
      </c>
      <c r="L55" s="23">
        <f>_xlfn.MAXIFS('Market Rafı'!$E$5:$E$14,'Market Rafı'!$A$5:$A$14,$B55)*$B$7</f>
        <v>173.59979999999999</v>
      </c>
      <c r="M55" s="23" cm="1">
        <f t="array" ref="M55">_xlfn.LET(_xlpm.prod,$B55,_xlpm.src,$A55,_xlpm.ing,_xlfn._xlws.FILTER('Tarifler ve Verim'!$D$5:$D$26,'Tarifler ve Verim'!$A$5:$A$26=_xlpm.prod),_xlpm.qty,_xlfn._xlws.FILTER('Tarifler ve Verim'!$E$5:$E$26,'Tarifler ve Verim'!$A$5:$A$26=_xlpm.prod),_xlpm.price,_xlfn.IFNA(_xlfn.XLOOKUP(_xlpm.ing,'Malzeme Fiyatları'!$A$5:$A$17,CHOOSE(MATCH(_xlpm.src,{"Hal ortalaması","Pazar kasa","Pazar perakende","Market"},0),'Malzeme Fiyatları'!$D$5:$D$17,'Malzeme Fiyatları'!$E$5:$E$17,'Malzeme Fiyatları'!$F$5:$F$17,'Malzeme Fiyatları'!$G$5:$G$17)),0),SUMPRODUCT(_xlpm.qty,_xlpm.price))</f>
        <v>535.79999999999995</v>
      </c>
      <c r="N55" s="23" cm="1">
        <f t="array" ref="N55">_xlfn.LET(_xlpm.prod,$B55,_xlpm.ing,_xlfn._xlws.FILTER('Tarifler ve Verim'!$D$5:$D$26,'Tarifler ve Verim'!$A$5:$A$26=_xlpm.prod),_xlpm.qty,_xlfn._xlws.FILTER('Tarifler ve Verim'!$E$5:$E$26,'Tarifler ve Verim'!$A$5:$A$26=_xlpm.prod),_xlpm.sup,_xlfn.IFNA(_xlfn.XLOOKUP(_xlpm.ing,'Sarf ve Ambalaj'!$A$5:$A$12,'Sarf ve Ambalaj'!$F$5:$F$12),0),SUMPRODUCT(_xlpm.qty,_xlpm.sup)+IF(S55="Kavanoz",J55*(19+$B$9),0))</f>
        <v>307.18212121212122</v>
      </c>
      <c r="O55" s="23" cm="1">
        <f t="array" ref="O55">_xlfn.LET(_xlpm.prod,$B55,_xlpm.ing,_xlfn._xlws.FILTER('Tarifler ve Verim'!$D$5:$D$26,'Tarifler ve Verim'!$A$5:$A$26=_xlpm.prod),_xlpm.qty,_xlfn._xlws.FILTER('Tarifler ve Verim'!$E$5:$E$26,'Tarifler ve Verim'!$A$5:$A$26=_xlpm.prod),_xlpm.sup,_xlfn.IFNA(_xlfn.XLOOKUP(_xlpm.ing,'Sarf ve Ambalaj'!$A$5:$A$12,'Sarf ve Ambalaj'!$F$5:$F$12),0),SUMPRODUCT(_xlpm.qty,_xlpm.sup)+IF(S55="Kavanoz",J55*(0+$B$9),0))</f>
        <v>157.48515151515153</v>
      </c>
      <c r="P55" s="23" cm="1">
        <f t="array" ref="P55">INDEX(_xlfn._xlws.FILTER('Tarifler ve Verim'!$H$5:$H$26,'Tarifler ve Verim'!$A$5:$A$26=$B55),1)*$B$10*$B$11</f>
        <v>13.5</v>
      </c>
      <c r="Q55" s="23" cm="1">
        <f t="array" ref="Q55">INDEX(_xlfn._xlws.FILTER('Tarifler ve Verim'!$G$5:$G$26,'Tarifler ve Verim'!$A$5:$A$26=$B55),1)</f>
        <v>5.2</v>
      </c>
      <c r="R55" s="24" cm="1">
        <f t="array" ref="R55">INDEX(_xlfn._xlws.FILTER('Tarifler ve Verim'!$I$5:$I$26,'Tarifler ve Verim'!$A$5:$A$26=$B55),1)</f>
        <v>2</v>
      </c>
      <c r="S55" s="49" t="str" cm="1">
        <f t="array" ref="S55">INDEX(_xlfn._xlws.FILTER('Tarifler ve Verim'!$C$5:$C$26,'Tarifler ve Verim'!$A$5:$A$26=$B55),1)</f>
        <v>Kavanoz</v>
      </c>
    </row>
    <row r="56" spans="1:19">
      <c r="A56" s="40" t="s">
        <v>236</v>
      </c>
      <c r="B56" s="41" t="s">
        <v>76</v>
      </c>
      <c r="C56" s="45">
        <f>(M56+N56+P56)/J56</f>
        <v>140.99662499999999</v>
      </c>
      <c r="D56" s="46">
        <f>(C56-K56)/K56</f>
        <v>-0.23126574307304784</v>
      </c>
      <c r="E56" s="46">
        <f>(C56-L56)/L56</f>
        <v>-0.32352359088030408</v>
      </c>
      <c r="F56" s="45">
        <f>(M56+O56+P56)/J56</f>
        <v>140.99662499999999</v>
      </c>
      <c r="G56" s="46">
        <f>(F56-K56)/K56</f>
        <v>-0.23126574307304784</v>
      </c>
      <c r="H56" s="46">
        <f>(F56-L56)/L56</f>
        <v>-0.32352359088030408</v>
      </c>
      <c r="I56" s="45">
        <f>C56-F56</f>
        <v>0</v>
      </c>
      <c r="J56" s="47">
        <f>Q56/$B$7</f>
        <v>6.0606060606060606</v>
      </c>
      <c r="K56" s="45">
        <f>_xlfn.MINIFS('Market Rafı'!$E$5:$E$14,'Market Rafı'!$A$5:$A$14,$B56)*$B$7</f>
        <v>183.41399999999999</v>
      </c>
      <c r="L56" s="45">
        <f>_xlfn.MAXIFS('Market Rafı'!$E$5:$E$14,'Market Rafı'!$A$5:$A$14,$B56)*$B$7</f>
        <v>208.42800000000003</v>
      </c>
      <c r="M56" s="45" cm="1">
        <f t="array" ref="M56">_xlfn.LET(_xlpm.prod,$B56,_xlpm.src,$A56,_xlpm.ing,_xlfn._xlws.FILTER('Tarifler ve Verim'!$D$5:$D$26,'Tarifler ve Verim'!$A$5:$A$26=_xlpm.prod),_xlpm.qty,_xlfn._xlws.FILTER('Tarifler ve Verim'!$E$5:$E$26,'Tarifler ve Verim'!$A$5:$A$26=_xlpm.prod),_xlpm.price,_xlfn.IFNA(_xlfn.XLOOKUP(_xlpm.ing,'Malzeme Fiyatları'!$A$5:$A$17,CHOOSE(MATCH(_xlpm.src,{"Hal ortalaması","Pazar kasa","Pazar perakende","Market"},0),'Malzeme Fiyatları'!$D$5:$D$17,'Malzeme Fiyatları'!$E$5:$E$17,'Malzeme Fiyatları'!$F$5:$F$17,'Malzeme Fiyatları'!$G$5:$G$17)),0),SUMPRODUCT(_xlpm.qty,_xlpm.price))</f>
        <v>560.52499999999998</v>
      </c>
      <c r="N56" s="45" cm="1">
        <f t="array" ref="N56">_xlfn.LET(_xlpm.prod,$B56,_xlpm.ing,_xlfn._xlws.FILTER('Tarifler ve Verim'!$D$5:$D$26,'Tarifler ve Verim'!$A$5:$A$26=_xlpm.prod),_xlpm.qty,_xlfn._xlws.FILTER('Tarifler ve Verim'!$E$5:$E$26,'Tarifler ve Verim'!$A$5:$A$26=_xlpm.prod),_xlpm.sup,_xlfn.IFNA(_xlfn.XLOOKUP(_xlpm.ing,'Sarf ve Ambalaj'!$A$5:$A$12,'Sarf ve Ambalaj'!$F$5:$F$12),0),SUMPRODUCT(_xlpm.qty,_xlpm.sup)+IF(S56="Kavanoz",J56*(19+$B$9),0))</f>
        <v>276</v>
      </c>
      <c r="O56" s="45" cm="1">
        <f t="array" ref="O56">_xlfn.LET(_xlpm.prod,$B56,_xlpm.ing,_xlfn._xlws.FILTER('Tarifler ve Verim'!$D$5:$D$26,'Tarifler ve Verim'!$A$5:$A$26=_xlpm.prod),_xlpm.qty,_xlfn._xlws.FILTER('Tarifler ve Verim'!$E$5:$E$26,'Tarifler ve Verim'!$A$5:$A$26=_xlpm.prod),_xlpm.sup,_xlfn.IFNA(_xlfn.XLOOKUP(_xlpm.ing,'Sarf ve Ambalaj'!$A$5:$A$12,'Sarf ve Ambalaj'!$F$5:$F$12),0),SUMPRODUCT(_xlpm.qty,_xlpm.sup)+IF(S56="Kavanoz",J56*(0+$B$9),0))</f>
        <v>276</v>
      </c>
      <c r="P56" s="45" cm="1">
        <f t="array" ref="P56">INDEX(_xlfn._xlws.FILTER('Tarifler ve Verim'!$H$5:$H$26,'Tarifler ve Verim'!$A$5:$A$26=$B56),1)*$B$10*$B$11</f>
        <v>18</v>
      </c>
      <c r="Q56" s="45" cm="1">
        <f t="array" ref="Q56">INDEX(_xlfn._xlws.FILTER('Tarifler ve Verim'!$G$5:$G$26,'Tarifler ve Verim'!$A$5:$A$26=$B56),1)</f>
        <v>4</v>
      </c>
      <c r="R56" s="47" cm="1">
        <f t="array" ref="R56">INDEX(_xlfn._xlws.FILTER('Tarifler ve Verim'!$I$5:$I$26,'Tarifler ve Verim'!$A$5:$A$26=$B56),1)</f>
        <v>6</v>
      </c>
      <c r="S56" s="50" t="str" cm="1">
        <f t="array" ref="S56">INDEX(_xlfn._xlws.FILTER('Tarifler ve Verim'!$C$5:$C$26,'Tarifler ve Verim'!$A$5:$A$26=$B56),1)</f>
        <v>Bez torba</v>
      </c>
    </row>
    <row r="59" spans="1:19">
      <c r="A59" s="52" t="s">
        <v>237</v>
      </c>
      <c r="B59" s="51"/>
      <c r="C59" s="51"/>
      <c r="D59" s="51"/>
      <c r="E59" s="51"/>
      <c r="F59" s="51"/>
      <c r="G59" s="51"/>
      <c r="H59" s="51"/>
      <c r="I59" s="51"/>
      <c r="J59" s="51"/>
      <c r="K59" s="51"/>
      <c r="L59" s="51"/>
      <c r="M59" s="51"/>
      <c r="N59" s="51"/>
      <c r="O59" s="51"/>
      <c r="P59" s="51"/>
      <c r="Q59" s="51"/>
      <c r="R59" s="51"/>
      <c r="S59" s="51"/>
    </row>
    <row r="60" spans="1:19">
      <c r="A60" s="35">
        <v>1</v>
      </c>
      <c r="B60" s="36" t="s">
        <v>238</v>
      </c>
      <c r="C60" s="53"/>
      <c r="D60" s="53"/>
      <c r="E60" s="53"/>
      <c r="F60" s="53"/>
      <c r="G60" s="53"/>
      <c r="H60" s="53"/>
      <c r="I60" s="53"/>
      <c r="J60" s="53"/>
      <c r="K60" s="53"/>
      <c r="L60" s="53"/>
      <c r="M60" s="53"/>
      <c r="N60" s="53"/>
      <c r="O60" s="53"/>
      <c r="P60" s="53"/>
      <c r="Q60" s="53"/>
      <c r="R60" s="53"/>
      <c r="S60" s="53"/>
    </row>
    <row r="61" spans="1:19">
      <c r="A61" s="35">
        <v>2</v>
      </c>
      <c r="B61" s="36" t="s">
        <v>239</v>
      </c>
      <c r="C61" s="53"/>
      <c r="D61" s="53"/>
      <c r="E61" s="53"/>
      <c r="F61" s="53"/>
      <c r="G61" s="53"/>
      <c r="H61" s="53"/>
      <c r="I61" s="53"/>
      <c r="J61" s="53"/>
      <c r="K61" s="53"/>
      <c r="L61" s="53"/>
      <c r="M61" s="53"/>
      <c r="N61" s="53"/>
      <c r="O61" s="53"/>
      <c r="P61" s="53"/>
      <c r="Q61" s="53"/>
      <c r="R61" s="53"/>
      <c r="S61" s="53"/>
    </row>
    <row r="62" spans="1:19">
      <c r="A62" s="35">
        <v>3</v>
      </c>
      <c r="B62" s="36" t="s">
        <v>240</v>
      </c>
      <c r="C62" s="53"/>
      <c r="D62" s="53"/>
      <c r="E62" s="53"/>
      <c r="F62" s="53"/>
      <c r="G62" s="53"/>
      <c r="H62" s="53"/>
      <c r="I62" s="53"/>
      <c r="J62" s="53"/>
      <c r="K62" s="53"/>
      <c r="L62" s="53"/>
      <c r="M62" s="53"/>
      <c r="N62" s="53"/>
      <c r="O62" s="53"/>
      <c r="P62" s="53"/>
      <c r="Q62" s="53"/>
      <c r="R62" s="53"/>
      <c r="S62" s="53"/>
    </row>
  </sheetData>
  <mergeCells count="14">
    <mergeCell ref="B61:S61"/>
    <mergeCell ref="B62:S62"/>
    <mergeCell ref="A25:S25"/>
    <mergeCell ref="A26:S28"/>
    <mergeCell ref="A30:S30"/>
    <mergeCell ref="A35:S35"/>
    <mergeCell ref="A59:S59"/>
    <mergeCell ref="B60:S60"/>
    <mergeCell ref="A1:S1"/>
    <mergeCell ref="A2:S2"/>
    <mergeCell ref="A4:F4"/>
    <mergeCell ref="A13:S13"/>
    <mergeCell ref="A14:S15"/>
    <mergeCell ref="A17:S17"/>
  </mergeCells>
  <conditionalFormatting sqref="L19:L23">
    <cfRule type="cellIs" dxfId="7" priority="1" operator="lessThan">
      <formula>0</formula>
    </cfRule>
  </conditionalFormatting>
  <conditionalFormatting sqref="L19:L23">
    <cfRule type="cellIs" dxfId="6" priority="2" operator="greaterThan">
      <formula>0</formula>
    </cfRule>
  </conditionalFormatting>
  <conditionalFormatting sqref="N19:N23">
    <cfRule type="cellIs" dxfId="5" priority="3" operator="lessThan">
      <formula>0</formula>
    </cfRule>
  </conditionalFormatting>
  <conditionalFormatting sqref="N19:N23">
    <cfRule type="cellIs" dxfId="4" priority="4" operator="greaterThan">
      <formula>0</formula>
    </cfRule>
  </conditionalFormatting>
  <conditionalFormatting sqref="D37:D56">
    <cfRule type="cellIs" dxfId="3" priority="5" operator="lessThan">
      <formula>0</formula>
    </cfRule>
  </conditionalFormatting>
  <conditionalFormatting sqref="D37:D56">
    <cfRule type="cellIs" dxfId="2" priority="6" operator="greaterThan">
      <formula>0</formula>
    </cfRule>
  </conditionalFormatting>
  <conditionalFormatting sqref="G37:G56">
    <cfRule type="cellIs" dxfId="1" priority="7" operator="lessThan">
      <formula>0</formula>
    </cfRule>
  </conditionalFormatting>
  <conditionalFormatting sqref="G37:G56">
    <cfRule type="cellIs" dxfId="0" priority="8" operator="greaterThan">
      <formula>0</formula>
    </cfRule>
  </conditionalFormatting>
  <dataValidations count="1">
    <dataValidation type="list" allowBlank="1" showInputMessage="1" showErrorMessage="1" sqref="B6" xr:uid="{41FECD0F-6E53-43BA-85A3-FFD987653DD9}">
      <formula1>"Hal ortalaması,Pazar kasa,Pazar perakende,Market"</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Kıvanç Akdeniz</cp:lastModifiedBy>
  <cp:revision/>
  <dcterms:created xsi:type="dcterms:W3CDTF">2026-07-29T08:30:55Z</dcterms:created>
  <dcterms:modified xsi:type="dcterms:W3CDTF">2026-07-29T10:06:48Z</dcterms:modified>
  <cp:category/>
  <cp:contentStatus/>
</cp:coreProperties>
</file>