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xr:revisionPtr revIDLastSave="169" documentId="11_B7F2670D7D36A8ED736A0E1A5D5DEED1D8EE09C1" xr6:coauthVersionLast="47" xr6:coauthVersionMax="47" xr10:uidLastSave="{39B747E9-6CA0-472D-9D7B-0D16E8D8CDD5}"/>
  <bookViews>
    <workbookView xWindow="0" yWindow="0" windowWidth="0" windowHeight="0" activeTab="3" xr2:uid="{00000000-000D-0000-FFFF-FFFF00000000}"/>
  </bookViews>
  <sheets>
    <sheet name="Fikstür" sheetId="1" r:id="rId1"/>
    <sheet name="Kulüpler" sheetId="2" r:id="rId2"/>
    <sheet name="İş Notları" sheetId="3" r:id="rId3"/>
    <sheet name="Fikstür Modeli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4" l="1" a="1"/>
  <c r="N15" i="4"/>
  <c r="Q8" i="4"/>
  <c r="Q9" i="4"/>
  <c r="Q10" i="4"/>
  <c r="Q11" i="4"/>
  <c r="P8" i="4"/>
  <c r="P9" i="4"/>
  <c r="P10" i="4"/>
  <c r="P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O8" i="4"/>
  <c r="O9" i="4"/>
  <c r="O10" i="4"/>
  <c r="O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I12" i="4" a="1"/>
  <c r="I12" i="4"/>
  <c r="I13" i="4" a="1"/>
  <c r="I13" i="4"/>
  <c r="I14" i="4" a="1"/>
  <c r="I14" i="4"/>
  <c r="I15" i="4" a="1"/>
  <c r="I15" i="4"/>
  <c r="I16" i="4" a="1"/>
  <c r="I16" i="4"/>
  <c r="I17" i="4" a="1"/>
  <c r="I17" i="4"/>
  <c r="I18" i="4" a="1"/>
  <c r="I18" i="4"/>
  <c r="I19" i="4" a="1"/>
  <c r="I19" i="4"/>
  <c r="I20" i="4" a="1"/>
  <c r="I20" i="4"/>
  <c r="I21" i="4" a="1"/>
  <c r="I21" i="4"/>
  <c r="I22" i="4" a="1"/>
  <c r="I22" i="4"/>
  <c r="I23" i="4" a="1"/>
  <c r="I23" i="4"/>
  <c r="I24" i="4" a="1"/>
  <c r="I24" i="4"/>
  <c r="I25" i="4" a="1"/>
  <c r="I25" i="4"/>
  <c r="I26" i="4" a="1"/>
  <c r="I26" i="4"/>
  <c r="I27" i="4" a="1"/>
  <c r="I27" i="4"/>
  <c r="I28" i="4" a="1"/>
  <c r="I28" i="4"/>
  <c r="I29" i="4" a="1"/>
  <c r="I29" i="4"/>
  <c r="H12" i="4" a="1"/>
  <c r="H12" i="4"/>
  <c r="H13" i="4" a="1"/>
  <c r="H13" i="4"/>
  <c r="H14" i="4" a="1"/>
  <c r="H14" i="4"/>
  <c r="H15" i="4" a="1"/>
  <c r="H15" i="4"/>
  <c r="H16" i="4" a="1"/>
  <c r="H16" i="4"/>
  <c r="H17" i="4" a="1"/>
  <c r="H17" i="4"/>
  <c r="H18" i="4" a="1"/>
  <c r="H18" i="4"/>
  <c r="H19" i="4" a="1"/>
  <c r="H19" i="4"/>
  <c r="H20" i="4" a="1"/>
  <c r="H20" i="4"/>
  <c r="H21" i="4" a="1"/>
  <c r="H21" i="4"/>
  <c r="H22" i="4" a="1"/>
  <c r="H22" i="4"/>
  <c r="H23" i="4" a="1"/>
  <c r="H23" i="4"/>
  <c r="H24" i="4" a="1"/>
  <c r="H24" i="4"/>
  <c r="H25" i="4" a="1"/>
  <c r="H25" i="4"/>
  <c r="H26" i="4" a="1"/>
  <c r="H26" i="4"/>
  <c r="H27" i="4" a="1"/>
  <c r="H27" i="4"/>
  <c r="H28" i="4" a="1"/>
  <c r="H28" i="4"/>
  <c r="H29" i="4" a="1"/>
  <c r="H29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F12" i="4" a="1"/>
  <c r="F12" i="4"/>
  <c r="F13" i="4" a="1"/>
  <c r="F13" i="4"/>
  <c r="F14" i="4" a="1"/>
  <c r="F14" i="4"/>
  <c r="F15" i="4" a="1"/>
  <c r="F15" i="4"/>
  <c r="F16" i="4" a="1"/>
  <c r="F16" i="4"/>
  <c r="F17" i="4" a="1"/>
  <c r="F17" i="4"/>
  <c r="F18" i="4" a="1"/>
  <c r="F18" i="4"/>
  <c r="F19" i="4" a="1"/>
  <c r="F19" i="4"/>
  <c r="F20" i="4" a="1"/>
  <c r="F20" i="4"/>
  <c r="F21" i="4" a="1"/>
  <c r="F21" i="4"/>
  <c r="F22" i="4" a="1"/>
  <c r="F22" i="4"/>
  <c r="F23" i="4" a="1"/>
  <c r="F23" i="4"/>
  <c r="F24" i="4" a="1"/>
  <c r="F24" i="4"/>
  <c r="F25" i="4" a="1"/>
  <c r="F25" i="4"/>
  <c r="F26" i="4" a="1"/>
  <c r="F26" i="4"/>
  <c r="F27" i="4" a="1"/>
  <c r="F27" i="4"/>
  <c r="F28" i="4" a="1"/>
  <c r="F28" i="4"/>
  <c r="F29" i="4" a="1"/>
  <c r="F29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B9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<sst xmlns="http://schemas.openxmlformats.org/spreadsheetml/2006/main" count="446" uniqueCount="89">
  <si>
    <t>2026-27 Trendyol Süper Lig — İlk Devre Fikstürü</t>
  </si>
  <si>
    <t>1-17. haftanın 153 maçı. Kaynak: TFF fikstürü, 26 Temmuz 2026'da elle karşılaştırıldı.</t>
  </si>
  <si>
    <t>Hafta</t>
  </si>
  <si>
    <t>Ev Sahibi</t>
  </si>
  <si>
    <t>Deplasman</t>
  </si>
  <si>
    <t>Amed SFK</t>
  </si>
  <si>
    <t>Erzurumspor FK</t>
  </si>
  <si>
    <t>Beşiktaş</t>
  </si>
  <si>
    <t>Eyüpspor</t>
  </si>
  <si>
    <t>Galatasaray</t>
  </si>
  <si>
    <t>Çorum FK</t>
  </si>
  <si>
    <t>Gaziantep FK</t>
  </si>
  <si>
    <t>Alanyaspor</t>
  </si>
  <si>
    <t>Gençlerbirliği</t>
  </si>
  <si>
    <t>Fenerbahçe</t>
  </si>
  <si>
    <t>Kasımpaşa</t>
  </si>
  <si>
    <t>Trabzonspor</t>
  </si>
  <si>
    <t>Konyaspor</t>
  </si>
  <si>
    <t>Çaykur Rizespor</t>
  </si>
  <si>
    <t>Samsunspor</t>
  </si>
  <si>
    <t>Göztepe</t>
  </si>
  <si>
    <t>İstanbul Başakşehir</t>
  </si>
  <si>
    <t>Kocaelispor</t>
  </si>
  <si>
    <t>2026-27 Süper Lig Kulüpleri</t>
  </si>
  <si>
    <t>2025-26 bitiş sırası ve 2026-27 Avrupa kupası katılımı. Kaynak: TFF puan durumu.</t>
  </si>
  <si>
    <t>Kulüp</t>
  </si>
  <si>
    <t>2025-26 Sırası</t>
  </si>
  <si>
    <t>Durum</t>
  </si>
  <si>
    <t>2026-27 Avrupa Kupası</t>
  </si>
  <si>
    <t>Ligde kaldı</t>
  </si>
  <si>
    <t>Yok</t>
  </si>
  <si>
    <t>yükselen</t>
  </si>
  <si>
    <t>Yükselen</t>
  </si>
  <si>
    <t>Avrupa Ligi</t>
  </si>
  <si>
    <t>Şampiyonlar Ligi</t>
  </si>
  <si>
    <t>Konferans Ligi</t>
  </si>
  <si>
    <t>Fikstür Avantajı — Okuma Notları</t>
  </si>
  <si>
    <t>Modeli kurarken bu kuralları esas alın.</t>
  </si>
  <si>
    <t>Başlık</t>
  </si>
  <si>
    <t>Not</t>
  </si>
  <si>
    <t>Tek devreli lig</t>
  </si>
  <si>
    <t>İlk 17 haftada herkes herkesle tam bir kez oynuyor. Bu yüzden ortalama rakip gücü fikstür hakkında bir şey söylemez; değişen tek şey kiminle nerede ve ne zaman oynadığınızdır.</t>
  </si>
  <si>
    <t>Rakip gücü</t>
  </si>
  <si>
    <t>Geçen sezonun bitiş sırası kullanılır: 1. sıra en güçlü. Yükselen üç kulüp tek bant sayılır; 1. Lig sırasının Süper Lig karşılığı ölçülmüş değildir.</t>
  </si>
  <si>
    <t>Deplasman yükü</t>
  </si>
  <si>
    <t>Güçlü rakiplerin deplasmana denk gelmesi dezavantajdır. Ölçüt, deplasmandaki rakip gücü toplamının nötr dağılımdan sapmasıdır.</t>
  </si>
  <si>
    <t>Saha dengesi</t>
  </si>
  <si>
    <t>İlk devrede bir kulüp 9 ev - 8 deplasman ya da 8 ev - 9 deplasman oynar.</t>
  </si>
  <si>
    <t>Avrupa yükü</t>
  </si>
  <si>
    <t>Şampiyonlar Ligi en ağır, Avrupa Ligi orta, Konferans Ligi en hafif takvim yükünü getirir. Avrupa oynamayan kulüpte bu yük yoktur.</t>
  </si>
  <si>
    <t>Açılış</t>
  </si>
  <si>
    <t>İlk 5 haftanın zorluğu ayrı ölçülür; kötü başlangıç sezonun tonunu belirler.</t>
  </si>
  <si>
    <t>Ağırlıklar bir yargı çağrısıdır</t>
  </si>
  <si>
    <t>Ağırlığı değiştirdiğinizde yerinde kalan sıralama bulgudur; yer değiştiren sıralama varsayımın kendisidir.</t>
  </si>
  <si>
    <t>Sınır</t>
  </si>
  <si>
    <t>Bu bir maç tahmini değildir. Kadro, sakatlık, transfer ve form modelin dışındadır.</t>
  </si>
  <si>
    <t>2026-27 Süper Lig — Fikstür Avantaj Modeli</t>
  </si>
  <si>
    <t>Ağırlıkları değiştirdiğinizde sıralama otomatik güncellenir. 100 = en avantajlı fikstür.</t>
  </si>
  <si>
    <t>AĞIRLIKLAR</t>
  </si>
  <si>
    <t>AVRUPA KUPASI AĞIRLIKLARI</t>
  </si>
  <si>
    <t>DUYARLILIK ANALİZİ</t>
  </si>
  <si>
    <t>Deplasman Yükü</t>
  </si>
  <si>
    <t>Avrupa yükü %0 → farkı deplasman yüküne ekle</t>
  </si>
  <si>
    <t>Saha Dengesi</t>
  </si>
  <si>
    <t>Avrupa Yükü</t>
  </si>
  <si>
    <t>Mevcut Sıra</t>
  </si>
  <si>
    <t>Avrupa=0 Sırası</t>
  </si>
  <si>
    <t>Fark</t>
  </si>
  <si>
    <t>Toplam</t>
  </si>
  <si>
    <t>(3 = en ağır yük)</t>
  </si>
  <si>
    <t>Güç Sırası</t>
  </si>
  <si>
    <t>Ev Maçı</t>
  </si>
  <si>
    <t>Deplasman Rakip Gücü</t>
  </si>
  <si>
    <t>Deplasman Yükü Sapması</t>
  </si>
  <si>
    <t>İlk 5 Hafta Zorluğu</t>
  </si>
  <si>
    <t>Ham Puan</t>
  </si>
  <si>
    <t>Fikstür Avantaj Puanı</t>
  </si>
  <si>
    <t>Sıra</t>
  </si>
  <si>
    <t>Alt. Ham</t>
  </si>
  <si>
    <t>Alt. Norm</t>
  </si>
  <si>
    <t>Alt. Sıra</t>
  </si>
  <si>
    <t>YORUM</t>
  </si>
  <si>
    <t>Avrupa yükü sıfırlandığında dört büyüğün hepsi sıra atlıyor.</t>
  </si>
  <si>
    <t>FORMÜL AÇIKLAMALARI</t>
  </si>
  <si>
    <t>Kulübün deplasmanda oynadığı tüm rakiplerin güç sırası toplamı. Düşük = güçlü rakipler.</t>
  </si>
  <si>
    <t>Deplasman rakip gücünün ligdeki ortalamadan sapması. Pozitif = zayıf rakiplere oynuyor (avantaj).</t>
  </si>
  <si>
    <t>İlk 5 haftadaki tüm rakiplerin güç sırası toplamı. Yüksek = kolay açılış.</t>
  </si>
  <si>
    <t>ŞL=3, AL=2, KL=1, Yok=0. Yüksek yük fikstür avantajını düşürür.</t>
  </si>
  <si>
    <t>Dört ölçütün ağırlıklı ortalaması, 0-100 arası normalize. 100 = en avantajlı fikstür.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</si>
</sst>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"/>
      <color rgb="FF1F3864"/>
      <name val="Calibri"/>
    </font>
    <font>
      <b/>
      <sz val="11"/>
      <color rgb="FFFFFFFF"/>
      <name val="Calibri"/>
    </font>
    <font>
      <b/>
      <sz val="14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1F4E79"/>
        <bgColor indexed="64"/>
      </patternFill>
    </fill>
    <fill>
      <patternFill patternType="solid">
        <fgColor rgb="FFD6E3F8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2D1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9" fontId="6" fillId="6" borderId="0" xfId="0" applyNumberFormat="1" applyFont="1" applyFill="1"/>
    <xf numFmtId="0" fontId="6" fillId="7" borderId="0" xfId="0" applyFont="1" applyFill="1"/>
    <xf numFmtId="9" fontId="6" fillId="7" borderId="0" xfId="0" applyNumberFormat="1" applyFont="1" applyFill="1"/>
    <xf numFmtId="0" fontId="6" fillId="6" borderId="0" xfId="0" applyFont="1" applyFill="1"/>
    <xf numFmtId="0" fontId="5" fillId="0" borderId="0" xfId="0" applyFont="1"/>
    <xf numFmtId="0" fontId="8" fillId="0" borderId="0" xfId="0" applyFont="1"/>
    <xf numFmtId="164" fontId="0" fillId="0" borderId="0" xfId="0" applyNumberFormat="1"/>
    <xf numFmtId="0" fontId="7" fillId="3" borderId="1" xfId="0" applyFont="1" applyFill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0" fontId="0" fillId="8" borderId="1" xfId="0" applyFill="1" applyBorder="1"/>
    <xf numFmtId="164" fontId="0" fillId="8" borderId="1" xfId="0" applyNumberFormat="1" applyFill="1" applyBorder="1"/>
    <xf numFmtId="164" fontId="6" fillId="7" borderId="1" xfId="0" applyNumberFormat="1" applyFont="1" applyFill="1" applyBorder="1"/>
    <xf numFmtId="0" fontId="6" fillId="0" borderId="1" xfId="0" applyFont="1" applyBorder="1"/>
    <xf numFmtId="0" fontId="6" fillId="8" borderId="1" xfId="0" applyFont="1" applyFill="1" applyBorder="1"/>
    <xf numFmtId="0" fontId="6" fillId="0" borderId="1" xfId="0" applyFont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1" fontId="0" fillId="0" borderId="1" xfId="0" applyNumberFormat="1" applyBorder="1"/>
    <xf numFmtId="1" fontId="0" fillId="8" borderId="1" xfId="0" applyNumberFormat="1" applyFill="1" applyBorder="1"/>
    <xf numFmtId="0" fontId="7" fillId="5" borderId="0" xfId="0" applyFont="1" applyFill="1"/>
    <xf numFmtId="0" fontId="7" fillId="9" borderId="0" xfId="0" applyFont="1" applyFill="1" applyAlignment="1">
      <alignment horizontal="center"/>
    </xf>
    <xf numFmtId="0" fontId="7" fillId="9" borderId="0" xfId="0" applyFont="1" applyFill="1"/>
    <xf numFmtId="0" fontId="9" fillId="11" borderId="0" xfId="0" applyFont="1" applyFill="1"/>
    <xf numFmtId="0" fontId="7" fillId="9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wrapText="1"/>
    </xf>
    <xf numFmtId="0" fontId="5" fillId="12" borderId="0" xfId="0" applyFont="1" applyFill="1" applyAlignment="1">
      <alignment wrapText="1"/>
    </xf>
    <xf numFmtId="0" fontId="0" fillId="0" borderId="0" xfId="0" applyAlignment="1"/>
    <xf numFmtId="0" fontId="5" fillId="4" borderId="0" xfId="0" applyFont="1" applyFill="1" applyAlignment="1"/>
    <xf numFmtId="0" fontId="7" fillId="5" borderId="0" xfId="0" applyFont="1" applyFill="1" applyAlignment="1"/>
    <xf numFmtId="0" fontId="8" fillId="10" borderId="0" xfId="0" applyFont="1" applyFill="1" applyAlignment="1"/>
  </cellXfs>
  <cellStyles count="1">
    <cellStyle name="Normal" xfId="0" builtinId="0"/>
  </cellStyles>
  <dxfs count="3">
    <dxf>
      <font>
        <color rgb="FF006100"/>
      </font>
      <fill>
        <patternFill patternType="solid">
          <fgColor indexed="64"/>
          <bgColor rgb="FFC6EF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lkDevreFiksturu" displayName="IlkDevreFiksturu" ref="A4:C157">
  <autoFilter ref="A4:C157" xr:uid="{00000000-0009-0000-0100-000001000000}"/>
  <tableColumns count="3">
    <tableColumn id="1" xr3:uid="{00000000-0010-0000-0000-000001000000}" name="Hafta"/>
    <tableColumn id="2" xr3:uid="{00000000-0010-0000-0000-000002000000}" name="Ev Sahibi"/>
    <tableColumn id="3" xr3:uid="{00000000-0010-0000-0000-000003000000}" name="Deplasma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Kulupler" displayName="Kulupler" ref="A4:D22">
  <autoFilter ref="A4:D22" xr:uid="{00000000-0009-0000-0100-000002000000}"/>
  <tableColumns count="4">
    <tableColumn id="1" xr3:uid="{00000000-0010-0000-0100-000001000000}" name="Kulüp"/>
    <tableColumn id="2" xr3:uid="{00000000-0010-0000-0100-000002000000}" name="2025-26 Sırası"/>
    <tableColumn id="3" xr3:uid="{00000000-0010-0000-0100-000003000000}" name="Durum"/>
    <tableColumn id="4" xr3:uid="{00000000-0010-0000-0100-000004000000}" name="2026-27 Avrupa Kupası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sNotlari" displayName="IsNotlari" ref="A4:B12">
  <autoFilter ref="A4:B12" xr:uid="{00000000-0009-0000-0100-000003000000}"/>
  <tableColumns count="2">
    <tableColumn id="1" xr3:uid="{00000000-0010-0000-0200-000001000000}" name="Başlık"/>
    <tableColumn id="2" xr3:uid="{00000000-0010-0000-0200-000002000000}" name="No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7"/>
  <sheetViews>
    <sheetView workbookViewId="0">
      <pane ySplit="4" topLeftCell="A5" activePane="bottomLeft" state="frozen"/>
      <selection pane="bottomLeft" sqref="A1:C1"/>
    </sheetView>
  </sheetViews>
  <sheetFormatPr defaultRowHeight="15"/>
  <cols>
    <col min="1" max="1" width="10" customWidth="1"/>
    <col min="2" max="3" width="24" customWidth="1"/>
  </cols>
  <sheetData>
    <row r="1" spans="1:3" ht="26.1" customHeight="1">
      <c r="A1" s="3" t="s">
        <v>0</v>
      </c>
      <c r="B1" s="34"/>
      <c r="C1" s="34"/>
    </row>
    <row r="2" spans="1:3">
      <c r="A2" s="4" t="s">
        <v>1</v>
      </c>
      <c r="B2" s="34"/>
      <c r="C2" s="34"/>
    </row>
    <row r="4" spans="1:3">
      <c r="A4" s="1" t="s">
        <v>2</v>
      </c>
      <c r="B4" s="1" t="s">
        <v>3</v>
      </c>
      <c r="C4" s="1" t="s">
        <v>4</v>
      </c>
    </row>
    <row r="5" spans="1:3">
      <c r="A5" s="2">
        <v>1</v>
      </c>
      <c r="B5" s="2" t="s">
        <v>5</v>
      </c>
      <c r="C5" s="2" t="s">
        <v>6</v>
      </c>
    </row>
    <row r="6" spans="1:3">
      <c r="A6" s="2">
        <v>1</v>
      </c>
      <c r="B6" s="2" t="s">
        <v>7</v>
      </c>
      <c r="C6" s="2" t="s">
        <v>8</v>
      </c>
    </row>
    <row r="7" spans="1:3">
      <c r="A7" s="2">
        <v>1</v>
      </c>
      <c r="B7" s="2" t="s">
        <v>9</v>
      </c>
      <c r="C7" s="2" t="s">
        <v>10</v>
      </c>
    </row>
    <row r="8" spans="1:3">
      <c r="A8" s="2">
        <v>1</v>
      </c>
      <c r="B8" s="2" t="s">
        <v>11</v>
      </c>
      <c r="C8" s="2" t="s">
        <v>12</v>
      </c>
    </row>
    <row r="9" spans="1:3">
      <c r="A9" s="2">
        <v>1</v>
      </c>
      <c r="B9" s="2" t="s">
        <v>13</v>
      </c>
      <c r="C9" s="2" t="s">
        <v>14</v>
      </c>
    </row>
    <row r="10" spans="1:3">
      <c r="A10" s="2">
        <v>1</v>
      </c>
      <c r="B10" s="2" t="s">
        <v>15</v>
      </c>
      <c r="C10" s="2" t="s">
        <v>16</v>
      </c>
    </row>
    <row r="11" spans="1:3">
      <c r="A11" s="2">
        <v>1</v>
      </c>
      <c r="B11" s="2" t="s">
        <v>17</v>
      </c>
      <c r="C11" s="2" t="s">
        <v>18</v>
      </c>
    </row>
    <row r="12" spans="1:3">
      <c r="A12" s="2">
        <v>1</v>
      </c>
      <c r="B12" s="2" t="s">
        <v>19</v>
      </c>
      <c r="C12" s="2" t="s">
        <v>20</v>
      </c>
    </row>
    <row r="13" spans="1:3">
      <c r="A13" s="2">
        <v>1</v>
      </c>
      <c r="B13" s="2" t="s">
        <v>21</v>
      </c>
      <c r="C13" s="2" t="s">
        <v>22</v>
      </c>
    </row>
    <row r="14" spans="1:3">
      <c r="A14" s="2">
        <v>2</v>
      </c>
      <c r="B14" s="2" t="s">
        <v>12</v>
      </c>
      <c r="C14" s="2" t="s">
        <v>7</v>
      </c>
    </row>
    <row r="15" spans="1:3">
      <c r="A15" s="2">
        <v>2</v>
      </c>
      <c r="B15" s="2" t="s">
        <v>6</v>
      </c>
      <c r="C15" s="2" t="s">
        <v>9</v>
      </c>
    </row>
    <row r="16" spans="1:3">
      <c r="A16" s="2">
        <v>2</v>
      </c>
      <c r="B16" s="2" t="s">
        <v>8</v>
      </c>
      <c r="C16" s="2" t="s">
        <v>11</v>
      </c>
    </row>
    <row r="17" spans="1:3">
      <c r="A17" s="2">
        <v>2</v>
      </c>
      <c r="B17" s="2" t="s">
        <v>14</v>
      </c>
      <c r="C17" s="2" t="s">
        <v>17</v>
      </c>
    </row>
    <row r="18" spans="1:3">
      <c r="A18" s="2">
        <v>2</v>
      </c>
      <c r="B18" s="2" t="s">
        <v>20</v>
      </c>
      <c r="C18" s="2" t="s">
        <v>13</v>
      </c>
    </row>
    <row r="19" spans="1:3">
      <c r="A19" s="2">
        <v>2</v>
      </c>
      <c r="B19" s="2" t="s">
        <v>22</v>
      </c>
      <c r="C19" s="2" t="s">
        <v>5</v>
      </c>
    </row>
    <row r="20" spans="1:3">
      <c r="A20" s="2">
        <v>2</v>
      </c>
      <c r="B20" s="2" t="s">
        <v>16</v>
      </c>
      <c r="C20" s="2" t="s">
        <v>21</v>
      </c>
    </row>
    <row r="21" spans="1:3">
      <c r="A21" s="2">
        <v>2</v>
      </c>
      <c r="B21" s="2" t="s">
        <v>18</v>
      </c>
      <c r="C21" s="2" t="s">
        <v>19</v>
      </c>
    </row>
    <row r="22" spans="1:3">
      <c r="A22" s="2">
        <v>2</v>
      </c>
      <c r="B22" s="2" t="s">
        <v>10</v>
      </c>
      <c r="C22" s="2" t="s">
        <v>15</v>
      </c>
    </row>
    <row r="23" spans="1:3">
      <c r="A23" s="2">
        <v>3</v>
      </c>
      <c r="B23" s="2" t="s">
        <v>5</v>
      </c>
      <c r="C23" s="2" t="s">
        <v>16</v>
      </c>
    </row>
    <row r="24" spans="1:3">
      <c r="A24" s="2">
        <v>3</v>
      </c>
      <c r="B24" s="2" t="s">
        <v>7</v>
      </c>
      <c r="C24" s="2" t="s">
        <v>10</v>
      </c>
    </row>
    <row r="25" spans="1:3">
      <c r="A25" s="2">
        <v>3</v>
      </c>
      <c r="B25" s="2" t="s">
        <v>8</v>
      </c>
      <c r="C25" s="2" t="s">
        <v>12</v>
      </c>
    </row>
    <row r="26" spans="1:3">
      <c r="A26" s="2">
        <v>3</v>
      </c>
      <c r="B26" s="2" t="s">
        <v>9</v>
      </c>
      <c r="C26" s="2" t="s">
        <v>20</v>
      </c>
    </row>
    <row r="27" spans="1:3">
      <c r="A27" s="2">
        <v>3</v>
      </c>
      <c r="B27" s="2" t="s">
        <v>11</v>
      </c>
      <c r="C27" s="2" t="s">
        <v>18</v>
      </c>
    </row>
    <row r="28" spans="1:3">
      <c r="A28" s="2">
        <v>3</v>
      </c>
      <c r="B28" s="2" t="s">
        <v>13</v>
      </c>
      <c r="C28" s="2" t="s">
        <v>6</v>
      </c>
    </row>
    <row r="29" spans="1:3">
      <c r="A29" s="2">
        <v>3</v>
      </c>
      <c r="B29" s="2" t="s">
        <v>17</v>
      </c>
      <c r="C29" s="2" t="s">
        <v>22</v>
      </c>
    </row>
    <row r="30" spans="1:3">
      <c r="A30" s="2">
        <v>3</v>
      </c>
      <c r="B30" s="2" t="s">
        <v>19</v>
      </c>
      <c r="C30" s="2" t="s">
        <v>14</v>
      </c>
    </row>
    <row r="31" spans="1:3">
      <c r="A31" s="2">
        <v>3</v>
      </c>
      <c r="B31" s="2" t="s">
        <v>21</v>
      </c>
      <c r="C31" s="2" t="s">
        <v>15</v>
      </c>
    </row>
    <row r="32" spans="1:3">
      <c r="A32" s="2">
        <v>4</v>
      </c>
      <c r="B32" s="2" t="s">
        <v>6</v>
      </c>
      <c r="C32" s="2" t="s">
        <v>17</v>
      </c>
    </row>
    <row r="33" spans="1:3">
      <c r="A33" s="2">
        <v>4</v>
      </c>
      <c r="B33" s="2" t="s">
        <v>14</v>
      </c>
      <c r="C33" s="2" t="s">
        <v>7</v>
      </c>
    </row>
    <row r="34" spans="1:3">
      <c r="A34" s="2">
        <v>4</v>
      </c>
      <c r="B34" s="2" t="s">
        <v>20</v>
      </c>
      <c r="C34" s="2" t="s">
        <v>11</v>
      </c>
    </row>
    <row r="35" spans="1:3">
      <c r="A35" s="2">
        <v>4</v>
      </c>
      <c r="B35" s="2" t="s">
        <v>15</v>
      </c>
      <c r="C35" s="2" t="s">
        <v>5</v>
      </c>
    </row>
    <row r="36" spans="1:3">
      <c r="A36" s="2">
        <v>4</v>
      </c>
      <c r="B36" s="2" t="s">
        <v>22</v>
      </c>
      <c r="C36" s="2" t="s">
        <v>19</v>
      </c>
    </row>
    <row r="37" spans="1:3">
      <c r="A37" s="2">
        <v>4</v>
      </c>
      <c r="B37" s="2" t="s">
        <v>16</v>
      </c>
      <c r="C37" s="2" t="s">
        <v>13</v>
      </c>
    </row>
    <row r="38" spans="1:3">
      <c r="A38" s="2">
        <v>4</v>
      </c>
      <c r="B38" s="2" t="s">
        <v>18</v>
      </c>
      <c r="C38" s="2" t="s">
        <v>12</v>
      </c>
    </row>
    <row r="39" spans="1:3">
      <c r="A39" s="2">
        <v>4</v>
      </c>
      <c r="B39" s="2" t="s">
        <v>10</v>
      </c>
      <c r="C39" s="2" t="s">
        <v>8</v>
      </c>
    </row>
    <row r="40" spans="1:3">
      <c r="A40" s="2">
        <v>4</v>
      </c>
      <c r="B40" s="2" t="s">
        <v>21</v>
      </c>
      <c r="C40" s="2" t="s">
        <v>9</v>
      </c>
    </row>
    <row r="41" spans="1:3">
      <c r="A41" s="2">
        <v>5</v>
      </c>
      <c r="B41" s="2" t="s">
        <v>12</v>
      </c>
      <c r="C41" s="2" t="s">
        <v>20</v>
      </c>
    </row>
    <row r="42" spans="1:3">
      <c r="A42" s="2">
        <v>5</v>
      </c>
      <c r="B42" s="2" t="s">
        <v>5</v>
      </c>
      <c r="C42" s="2" t="s">
        <v>21</v>
      </c>
    </row>
    <row r="43" spans="1:3">
      <c r="A43" s="2">
        <v>5</v>
      </c>
      <c r="B43" s="2" t="s">
        <v>7</v>
      </c>
      <c r="C43" s="2" t="s">
        <v>6</v>
      </c>
    </row>
    <row r="44" spans="1:3">
      <c r="A44" s="2">
        <v>5</v>
      </c>
      <c r="B44" s="2" t="s">
        <v>8</v>
      </c>
      <c r="C44" s="2" t="s">
        <v>18</v>
      </c>
    </row>
    <row r="45" spans="1:3">
      <c r="A45" s="2">
        <v>5</v>
      </c>
      <c r="B45" s="2" t="s">
        <v>9</v>
      </c>
      <c r="C45" s="2" t="s">
        <v>22</v>
      </c>
    </row>
    <row r="46" spans="1:3">
      <c r="A46" s="2">
        <v>5</v>
      </c>
      <c r="B46" s="2" t="s">
        <v>11</v>
      </c>
      <c r="C46" s="2" t="s">
        <v>14</v>
      </c>
    </row>
    <row r="47" spans="1:3">
      <c r="A47" s="2">
        <v>5</v>
      </c>
      <c r="B47" s="2" t="s">
        <v>13</v>
      </c>
      <c r="C47" s="2" t="s">
        <v>15</v>
      </c>
    </row>
    <row r="48" spans="1:3">
      <c r="A48" s="2">
        <v>5</v>
      </c>
      <c r="B48" s="2" t="s">
        <v>17</v>
      </c>
      <c r="C48" s="2" t="s">
        <v>16</v>
      </c>
    </row>
    <row r="49" spans="1:3">
      <c r="A49" s="2">
        <v>5</v>
      </c>
      <c r="B49" s="2" t="s">
        <v>19</v>
      </c>
      <c r="C49" s="2" t="s">
        <v>10</v>
      </c>
    </row>
    <row r="50" spans="1:3">
      <c r="A50" s="2">
        <v>6</v>
      </c>
      <c r="B50" s="2" t="s">
        <v>5</v>
      </c>
      <c r="C50" s="2" t="s">
        <v>7</v>
      </c>
    </row>
    <row r="51" spans="1:3">
      <c r="A51" s="2">
        <v>6</v>
      </c>
      <c r="B51" s="2" t="s">
        <v>6</v>
      </c>
      <c r="C51" s="2" t="s">
        <v>19</v>
      </c>
    </row>
    <row r="52" spans="1:3">
      <c r="A52" s="2">
        <v>6</v>
      </c>
      <c r="B52" s="2" t="s">
        <v>14</v>
      </c>
      <c r="C52" s="2" t="s">
        <v>8</v>
      </c>
    </row>
    <row r="53" spans="1:3">
      <c r="A53" s="2">
        <v>6</v>
      </c>
      <c r="B53" s="2" t="s">
        <v>20</v>
      </c>
      <c r="C53" s="2" t="s">
        <v>18</v>
      </c>
    </row>
    <row r="54" spans="1:3">
      <c r="A54" s="2">
        <v>6</v>
      </c>
      <c r="B54" s="2" t="s">
        <v>15</v>
      </c>
      <c r="C54" s="2" t="s">
        <v>17</v>
      </c>
    </row>
    <row r="55" spans="1:3">
      <c r="A55" s="2">
        <v>6</v>
      </c>
      <c r="B55" s="2" t="s">
        <v>22</v>
      </c>
      <c r="C55" s="2" t="s">
        <v>11</v>
      </c>
    </row>
    <row r="56" spans="1:3">
      <c r="A56" s="2">
        <v>6</v>
      </c>
      <c r="B56" s="2" t="s">
        <v>16</v>
      </c>
      <c r="C56" s="2" t="s">
        <v>9</v>
      </c>
    </row>
    <row r="57" spans="1:3">
      <c r="A57" s="2">
        <v>6</v>
      </c>
      <c r="B57" s="2" t="s">
        <v>10</v>
      </c>
      <c r="C57" s="2" t="s">
        <v>12</v>
      </c>
    </row>
    <row r="58" spans="1:3">
      <c r="A58" s="2">
        <v>6</v>
      </c>
      <c r="B58" s="2" t="s">
        <v>21</v>
      </c>
      <c r="C58" s="2" t="s">
        <v>13</v>
      </c>
    </row>
    <row r="59" spans="1:3">
      <c r="A59" s="2">
        <v>7</v>
      </c>
      <c r="B59" s="2" t="s">
        <v>12</v>
      </c>
      <c r="C59" s="2" t="s">
        <v>6</v>
      </c>
    </row>
    <row r="60" spans="1:3">
      <c r="A60" s="2">
        <v>7</v>
      </c>
      <c r="B60" s="2" t="s">
        <v>7</v>
      </c>
      <c r="C60" s="2" t="s">
        <v>22</v>
      </c>
    </row>
    <row r="61" spans="1:3">
      <c r="A61" s="2">
        <v>7</v>
      </c>
      <c r="B61" s="2" t="s">
        <v>8</v>
      </c>
      <c r="C61" s="2" t="s">
        <v>20</v>
      </c>
    </row>
    <row r="62" spans="1:3">
      <c r="A62" s="2">
        <v>7</v>
      </c>
      <c r="B62" s="2" t="s">
        <v>9</v>
      </c>
      <c r="C62" s="2" t="s">
        <v>15</v>
      </c>
    </row>
    <row r="63" spans="1:3">
      <c r="A63" s="2">
        <v>7</v>
      </c>
      <c r="B63" s="2" t="s">
        <v>11</v>
      </c>
      <c r="C63" s="2" t="s">
        <v>10</v>
      </c>
    </row>
    <row r="64" spans="1:3">
      <c r="A64" s="2">
        <v>7</v>
      </c>
      <c r="B64" s="2" t="s">
        <v>13</v>
      </c>
      <c r="C64" s="2" t="s">
        <v>5</v>
      </c>
    </row>
    <row r="65" spans="1:3">
      <c r="A65" s="2">
        <v>7</v>
      </c>
      <c r="B65" s="2" t="s">
        <v>17</v>
      </c>
      <c r="C65" s="2" t="s">
        <v>21</v>
      </c>
    </row>
    <row r="66" spans="1:3">
      <c r="A66" s="2">
        <v>7</v>
      </c>
      <c r="B66" s="2" t="s">
        <v>19</v>
      </c>
      <c r="C66" s="2" t="s">
        <v>16</v>
      </c>
    </row>
    <row r="67" spans="1:3">
      <c r="A67" s="2">
        <v>7</v>
      </c>
      <c r="B67" s="2" t="s">
        <v>18</v>
      </c>
      <c r="C67" s="2" t="s">
        <v>14</v>
      </c>
    </row>
    <row r="68" spans="1:3">
      <c r="A68" s="2">
        <v>8</v>
      </c>
      <c r="B68" s="2" t="s">
        <v>5</v>
      </c>
      <c r="C68" s="2" t="s">
        <v>17</v>
      </c>
    </row>
    <row r="69" spans="1:3">
      <c r="A69" s="2">
        <v>8</v>
      </c>
      <c r="B69" s="2" t="s">
        <v>6</v>
      </c>
      <c r="C69" s="2" t="s">
        <v>8</v>
      </c>
    </row>
    <row r="70" spans="1:3">
      <c r="A70" s="2">
        <v>8</v>
      </c>
      <c r="B70" s="2" t="s">
        <v>14</v>
      </c>
      <c r="C70" s="2" t="s">
        <v>12</v>
      </c>
    </row>
    <row r="71" spans="1:3">
      <c r="A71" s="2">
        <v>8</v>
      </c>
      <c r="B71" s="2" t="s">
        <v>13</v>
      </c>
      <c r="C71" s="2" t="s">
        <v>9</v>
      </c>
    </row>
    <row r="72" spans="1:3">
      <c r="A72" s="2">
        <v>8</v>
      </c>
      <c r="B72" s="2" t="s">
        <v>15</v>
      </c>
      <c r="C72" s="2" t="s">
        <v>19</v>
      </c>
    </row>
    <row r="73" spans="1:3">
      <c r="A73" s="2">
        <v>8</v>
      </c>
      <c r="B73" s="2" t="s">
        <v>22</v>
      </c>
      <c r="C73" s="2" t="s">
        <v>20</v>
      </c>
    </row>
    <row r="74" spans="1:3">
      <c r="A74" s="2">
        <v>8</v>
      </c>
      <c r="B74" s="2" t="s">
        <v>16</v>
      </c>
      <c r="C74" s="2" t="s">
        <v>7</v>
      </c>
    </row>
    <row r="75" spans="1:3">
      <c r="A75" s="2">
        <v>8</v>
      </c>
      <c r="B75" s="2" t="s">
        <v>10</v>
      </c>
      <c r="C75" s="2" t="s">
        <v>18</v>
      </c>
    </row>
    <row r="76" spans="1:3">
      <c r="A76" s="2">
        <v>8</v>
      </c>
      <c r="B76" s="2" t="s">
        <v>21</v>
      </c>
      <c r="C76" s="2" t="s">
        <v>11</v>
      </c>
    </row>
    <row r="77" spans="1:3">
      <c r="A77" s="2">
        <v>9</v>
      </c>
      <c r="B77" s="2" t="s">
        <v>12</v>
      </c>
      <c r="C77" s="2" t="s">
        <v>22</v>
      </c>
    </row>
    <row r="78" spans="1:3">
      <c r="A78" s="2">
        <v>9</v>
      </c>
      <c r="B78" s="2" t="s">
        <v>7</v>
      </c>
      <c r="C78" s="2" t="s">
        <v>21</v>
      </c>
    </row>
    <row r="79" spans="1:3">
      <c r="A79" s="2">
        <v>9</v>
      </c>
      <c r="B79" s="2" t="s">
        <v>8</v>
      </c>
      <c r="C79" s="2" t="s">
        <v>15</v>
      </c>
    </row>
    <row r="80" spans="1:3">
      <c r="A80" s="2">
        <v>9</v>
      </c>
      <c r="B80" s="2" t="s">
        <v>9</v>
      </c>
      <c r="C80" s="2" t="s">
        <v>14</v>
      </c>
    </row>
    <row r="81" spans="1:3">
      <c r="A81" s="2">
        <v>9</v>
      </c>
      <c r="B81" s="2" t="s">
        <v>11</v>
      </c>
      <c r="C81" s="2" t="s">
        <v>6</v>
      </c>
    </row>
    <row r="82" spans="1:3">
      <c r="A82" s="2">
        <v>9</v>
      </c>
      <c r="B82" s="2" t="s">
        <v>20</v>
      </c>
      <c r="C82" s="2" t="s">
        <v>10</v>
      </c>
    </row>
    <row r="83" spans="1:3">
      <c r="A83" s="2">
        <v>9</v>
      </c>
      <c r="B83" s="2" t="s">
        <v>17</v>
      </c>
      <c r="C83" s="2" t="s">
        <v>13</v>
      </c>
    </row>
    <row r="84" spans="1:3">
      <c r="A84" s="2">
        <v>9</v>
      </c>
      <c r="B84" s="2" t="s">
        <v>19</v>
      </c>
      <c r="C84" s="2" t="s">
        <v>5</v>
      </c>
    </row>
    <row r="85" spans="1:3">
      <c r="A85" s="2">
        <v>9</v>
      </c>
      <c r="B85" s="2" t="s">
        <v>18</v>
      </c>
      <c r="C85" s="2" t="s">
        <v>16</v>
      </c>
    </row>
    <row r="86" spans="1:3">
      <c r="A86" s="2">
        <v>10</v>
      </c>
      <c r="B86" s="2" t="s">
        <v>5</v>
      </c>
      <c r="C86" s="2" t="s">
        <v>8</v>
      </c>
    </row>
    <row r="87" spans="1:3">
      <c r="A87" s="2">
        <v>10</v>
      </c>
      <c r="B87" s="2" t="s">
        <v>6</v>
      </c>
      <c r="C87" s="2" t="s">
        <v>10</v>
      </c>
    </row>
    <row r="88" spans="1:3">
      <c r="A88" s="2">
        <v>10</v>
      </c>
      <c r="B88" s="2" t="s">
        <v>14</v>
      </c>
      <c r="C88" s="2" t="s">
        <v>20</v>
      </c>
    </row>
    <row r="89" spans="1:3">
      <c r="A89" s="2">
        <v>10</v>
      </c>
      <c r="B89" s="2" t="s">
        <v>13</v>
      </c>
      <c r="C89" s="2" t="s">
        <v>12</v>
      </c>
    </row>
    <row r="90" spans="1:3">
      <c r="A90" s="2">
        <v>10</v>
      </c>
      <c r="B90" s="2" t="s">
        <v>15</v>
      </c>
      <c r="C90" s="2" t="s">
        <v>7</v>
      </c>
    </row>
    <row r="91" spans="1:3">
      <c r="A91" s="2">
        <v>10</v>
      </c>
      <c r="B91" s="2" t="s">
        <v>22</v>
      </c>
      <c r="C91" s="2" t="s">
        <v>18</v>
      </c>
    </row>
    <row r="92" spans="1:3">
      <c r="A92" s="2">
        <v>10</v>
      </c>
      <c r="B92" s="2" t="s">
        <v>17</v>
      </c>
      <c r="C92" s="2" t="s">
        <v>9</v>
      </c>
    </row>
    <row r="93" spans="1:3">
      <c r="A93" s="2">
        <v>10</v>
      </c>
      <c r="B93" s="2" t="s">
        <v>16</v>
      </c>
      <c r="C93" s="2" t="s">
        <v>11</v>
      </c>
    </row>
    <row r="94" spans="1:3">
      <c r="A94" s="2">
        <v>10</v>
      </c>
      <c r="B94" s="2" t="s">
        <v>21</v>
      </c>
      <c r="C94" s="2" t="s">
        <v>19</v>
      </c>
    </row>
    <row r="95" spans="1:3">
      <c r="A95" s="2">
        <v>11</v>
      </c>
      <c r="B95" s="2" t="s">
        <v>12</v>
      </c>
      <c r="C95" s="2" t="s">
        <v>16</v>
      </c>
    </row>
    <row r="96" spans="1:3">
      <c r="A96" s="2">
        <v>11</v>
      </c>
      <c r="B96" s="2" t="s">
        <v>7</v>
      </c>
      <c r="C96" s="2" t="s">
        <v>13</v>
      </c>
    </row>
    <row r="97" spans="1:3">
      <c r="A97" s="2">
        <v>11</v>
      </c>
      <c r="B97" s="2" t="s">
        <v>8</v>
      </c>
      <c r="C97" s="2" t="s">
        <v>22</v>
      </c>
    </row>
    <row r="98" spans="1:3">
      <c r="A98" s="2">
        <v>11</v>
      </c>
      <c r="B98" s="2" t="s">
        <v>9</v>
      </c>
      <c r="C98" s="2" t="s">
        <v>5</v>
      </c>
    </row>
    <row r="99" spans="1:3">
      <c r="A99" s="2">
        <v>11</v>
      </c>
      <c r="B99" s="2" t="s">
        <v>11</v>
      </c>
      <c r="C99" s="2" t="s">
        <v>15</v>
      </c>
    </row>
    <row r="100" spans="1:3">
      <c r="A100" s="2">
        <v>11</v>
      </c>
      <c r="B100" s="2" t="s">
        <v>20</v>
      </c>
      <c r="C100" s="2" t="s">
        <v>21</v>
      </c>
    </row>
    <row r="101" spans="1:3">
      <c r="A101" s="2">
        <v>11</v>
      </c>
      <c r="B101" s="2" t="s">
        <v>19</v>
      </c>
      <c r="C101" s="2" t="s">
        <v>17</v>
      </c>
    </row>
    <row r="102" spans="1:3">
      <c r="A102" s="2">
        <v>11</v>
      </c>
      <c r="B102" s="2" t="s">
        <v>18</v>
      </c>
      <c r="C102" s="2" t="s">
        <v>6</v>
      </c>
    </row>
    <row r="103" spans="1:3">
      <c r="A103" s="2">
        <v>11</v>
      </c>
      <c r="B103" s="2" t="s">
        <v>10</v>
      </c>
      <c r="C103" s="2" t="s">
        <v>14</v>
      </c>
    </row>
    <row r="104" spans="1:3">
      <c r="A104" s="2">
        <v>12</v>
      </c>
      <c r="B104" s="2" t="s">
        <v>5</v>
      </c>
      <c r="C104" s="2" t="s">
        <v>18</v>
      </c>
    </row>
    <row r="105" spans="1:3">
      <c r="A105" s="2">
        <v>12</v>
      </c>
      <c r="B105" s="2" t="s">
        <v>6</v>
      </c>
      <c r="C105" s="2" t="s">
        <v>20</v>
      </c>
    </row>
    <row r="106" spans="1:3">
      <c r="A106" s="2">
        <v>12</v>
      </c>
      <c r="B106" s="2" t="s">
        <v>9</v>
      </c>
      <c r="C106" s="2" t="s">
        <v>19</v>
      </c>
    </row>
    <row r="107" spans="1:3">
      <c r="A107" s="2">
        <v>12</v>
      </c>
      <c r="B107" s="2" t="s">
        <v>13</v>
      </c>
      <c r="C107" s="2" t="s">
        <v>11</v>
      </c>
    </row>
    <row r="108" spans="1:3">
      <c r="A108" s="2">
        <v>12</v>
      </c>
      <c r="B108" s="2" t="s">
        <v>15</v>
      </c>
      <c r="C108" s="2" t="s">
        <v>12</v>
      </c>
    </row>
    <row r="109" spans="1:3">
      <c r="A109" s="2">
        <v>12</v>
      </c>
      <c r="B109" s="2" t="s">
        <v>22</v>
      </c>
      <c r="C109" s="2" t="s">
        <v>14</v>
      </c>
    </row>
    <row r="110" spans="1:3">
      <c r="A110" s="2">
        <v>12</v>
      </c>
      <c r="B110" s="2" t="s">
        <v>17</v>
      </c>
      <c r="C110" s="2" t="s">
        <v>7</v>
      </c>
    </row>
    <row r="111" spans="1:3">
      <c r="A111" s="2">
        <v>12</v>
      </c>
      <c r="B111" s="2" t="s">
        <v>16</v>
      </c>
      <c r="C111" s="2" t="s">
        <v>8</v>
      </c>
    </row>
    <row r="112" spans="1:3">
      <c r="A112" s="2">
        <v>12</v>
      </c>
      <c r="B112" s="2" t="s">
        <v>21</v>
      </c>
      <c r="C112" s="2" t="s">
        <v>10</v>
      </c>
    </row>
    <row r="113" spans="1:3">
      <c r="A113" s="2">
        <v>13</v>
      </c>
      <c r="B113" s="2" t="s">
        <v>12</v>
      </c>
      <c r="C113" s="2" t="s">
        <v>17</v>
      </c>
    </row>
    <row r="114" spans="1:3">
      <c r="A114" s="2">
        <v>13</v>
      </c>
      <c r="B114" s="2" t="s">
        <v>7</v>
      </c>
      <c r="C114" s="2" t="s">
        <v>9</v>
      </c>
    </row>
    <row r="115" spans="1:3">
      <c r="A115" s="2">
        <v>13</v>
      </c>
      <c r="B115" s="2" t="s">
        <v>8</v>
      </c>
      <c r="C115" s="2" t="s">
        <v>21</v>
      </c>
    </row>
    <row r="116" spans="1:3">
      <c r="A116" s="2">
        <v>13</v>
      </c>
      <c r="B116" s="2" t="s">
        <v>14</v>
      </c>
      <c r="C116" s="2" t="s">
        <v>6</v>
      </c>
    </row>
    <row r="117" spans="1:3">
      <c r="A117" s="2">
        <v>13</v>
      </c>
      <c r="B117" s="2" t="s">
        <v>11</v>
      </c>
      <c r="C117" s="2" t="s">
        <v>5</v>
      </c>
    </row>
    <row r="118" spans="1:3">
      <c r="A118" s="2">
        <v>13</v>
      </c>
      <c r="B118" s="2" t="s">
        <v>20</v>
      </c>
      <c r="C118" s="2" t="s">
        <v>16</v>
      </c>
    </row>
    <row r="119" spans="1:3">
      <c r="A119" s="2">
        <v>13</v>
      </c>
      <c r="B119" s="2" t="s">
        <v>19</v>
      </c>
      <c r="C119" s="2" t="s">
        <v>13</v>
      </c>
    </row>
    <row r="120" spans="1:3">
      <c r="A120" s="2">
        <v>13</v>
      </c>
      <c r="B120" s="2" t="s">
        <v>18</v>
      </c>
      <c r="C120" s="2" t="s">
        <v>15</v>
      </c>
    </row>
    <row r="121" spans="1:3">
      <c r="A121" s="2">
        <v>13</v>
      </c>
      <c r="B121" s="2" t="s">
        <v>10</v>
      </c>
      <c r="C121" s="2" t="s">
        <v>22</v>
      </c>
    </row>
    <row r="122" spans="1:3">
      <c r="A122" s="2">
        <v>14</v>
      </c>
      <c r="B122" s="2" t="s">
        <v>5</v>
      </c>
      <c r="C122" s="2" t="s">
        <v>12</v>
      </c>
    </row>
    <row r="123" spans="1:3">
      <c r="A123" s="2">
        <v>14</v>
      </c>
      <c r="B123" s="2" t="s">
        <v>7</v>
      </c>
      <c r="C123" s="2" t="s">
        <v>19</v>
      </c>
    </row>
    <row r="124" spans="1:3">
      <c r="A124" s="2">
        <v>14</v>
      </c>
      <c r="B124" s="2" t="s">
        <v>6</v>
      </c>
      <c r="C124" s="2" t="s">
        <v>22</v>
      </c>
    </row>
    <row r="125" spans="1:3">
      <c r="A125" s="2">
        <v>14</v>
      </c>
      <c r="B125" s="2" t="s">
        <v>9</v>
      </c>
      <c r="C125" s="2" t="s">
        <v>18</v>
      </c>
    </row>
    <row r="126" spans="1:3">
      <c r="A126" s="2">
        <v>14</v>
      </c>
      <c r="B126" s="2" t="s">
        <v>13</v>
      </c>
      <c r="C126" s="2" t="s">
        <v>8</v>
      </c>
    </row>
    <row r="127" spans="1:3">
      <c r="A127" s="2">
        <v>14</v>
      </c>
      <c r="B127" s="2" t="s">
        <v>15</v>
      </c>
      <c r="C127" s="2" t="s">
        <v>20</v>
      </c>
    </row>
    <row r="128" spans="1:3">
      <c r="A128" s="2">
        <v>14</v>
      </c>
      <c r="B128" s="2" t="s">
        <v>17</v>
      </c>
      <c r="C128" s="2" t="s">
        <v>11</v>
      </c>
    </row>
    <row r="129" spans="1:3">
      <c r="A129" s="2">
        <v>14</v>
      </c>
      <c r="B129" s="2" t="s">
        <v>16</v>
      </c>
      <c r="C129" s="2" t="s">
        <v>10</v>
      </c>
    </row>
    <row r="130" spans="1:3">
      <c r="A130" s="2">
        <v>14</v>
      </c>
      <c r="B130" s="2" t="s">
        <v>21</v>
      </c>
      <c r="C130" s="2" t="s">
        <v>14</v>
      </c>
    </row>
    <row r="131" spans="1:3">
      <c r="A131" s="2">
        <v>15</v>
      </c>
      <c r="B131" s="2" t="s">
        <v>12</v>
      </c>
      <c r="C131" s="2" t="s">
        <v>19</v>
      </c>
    </row>
    <row r="132" spans="1:3">
      <c r="A132" s="2">
        <v>15</v>
      </c>
      <c r="B132" s="2" t="s">
        <v>6</v>
      </c>
      <c r="C132" s="2" t="s">
        <v>15</v>
      </c>
    </row>
    <row r="133" spans="1:3">
      <c r="A133" s="2">
        <v>15</v>
      </c>
      <c r="B133" s="2" t="s">
        <v>8</v>
      </c>
      <c r="C133" s="2" t="s">
        <v>9</v>
      </c>
    </row>
    <row r="134" spans="1:3">
      <c r="A134" s="2">
        <v>15</v>
      </c>
      <c r="B134" s="2" t="s">
        <v>14</v>
      </c>
      <c r="C134" s="2" t="s">
        <v>16</v>
      </c>
    </row>
    <row r="135" spans="1:3">
      <c r="A135" s="2">
        <v>15</v>
      </c>
      <c r="B135" s="2" t="s">
        <v>11</v>
      </c>
      <c r="C135" s="2" t="s">
        <v>7</v>
      </c>
    </row>
    <row r="136" spans="1:3">
      <c r="A136" s="2">
        <v>15</v>
      </c>
      <c r="B136" s="2" t="s">
        <v>20</v>
      </c>
      <c r="C136" s="2" t="s">
        <v>17</v>
      </c>
    </row>
    <row r="137" spans="1:3">
      <c r="A137" s="2">
        <v>15</v>
      </c>
      <c r="B137" s="2" t="s">
        <v>22</v>
      </c>
      <c r="C137" s="2" t="s">
        <v>13</v>
      </c>
    </row>
    <row r="138" spans="1:3">
      <c r="A138" s="2">
        <v>15</v>
      </c>
      <c r="B138" s="2" t="s">
        <v>18</v>
      </c>
      <c r="C138" s="2" t="s">
        <v>21</v>
      </c>
    </row>
    <row r="139" spans="1:3">
      <c r="A139" s="2">
        <v>15</v>
      </c>
      <c r="B139" s="2" t="s">
        <v>10</v>
      </c>
      <c r="C139" s="2" t="s">
        <v>5</v>
      </c>
    </row>
    <row r="140" spans="1:3">
      <c r="A140" s="2">
        <v>16</v>
      </c>
      <c r="B140" s="2" t="s">
        <v>5</v>
      </c>
      <c r="C140" s="2" t="s">
        <v>20</v>
      </c>
    </row>
    <row r="141" spans="1:3">
      <c r="A141" s="2">
        <v>16</v>
      </c>
      <c r="B141" s="2" t="s">
        <v>7</v>
      </c>
      <c r="C141" s="2" t="s">
        <v>18</v>
      </c>
    </row>
    <row r="142" spans="1:3">
      <c r="A142" s="2">
        <v>16</v>
      </c>
      <c r="B142" s="2" t="s">
        <v>9</v>
      </c>
      <c r="C142" s="2" t="s">
        <v>12</v>
      </c>
    </row>
    <row r="143" spans="1:3">
      <c r="A143" s="2">
        <v>16</v>
      </c>
      <c r="B143" s="2" t="s">
        <v>13</v>
      </c>
      <c r="C143" s="2" t="s">
        <v>10</v>
      </c>
    </row>
    <row r="144" spans="1:3">
      <c r="A144" s="2">
        <v>16</v>
      </c>
      <c r="B144" s="2" t="s">
        <v>15</v>
      </c>
      <c r="C144" s="2" t="s">
        <v>14</v>
      </c>
    </row>
    <row r="145" spans="1:3">
      <c r="A145" s="2">
        <v>16</v>
      </c>
      <c r="B145" s="2" t="s">
        <v>17</v>
      </c>
      <c r="C145" s="2" t="s">
        <v>8</v>
      </c>
    </row>
    <row r="146" spans="1:3">
      <c r="A146" s="2">
        <v>16</v>
      </c>
      <c r="B146" s="2" t="s">
        <v>19</v>
      </c>
      <c r="C146" s="2" t="s">
        <v>11</v>
      </c>
    </row>
    <row r="147" spans="1:3">
      <c r="A147" s="2">
        <v>16</v>
      </c>
      <c r="B147" s="2" t="s">
        <v>16</v>
      </c>
      <c r="C147" s="2" t="s">
        <v>22</v>
      </c>
    </row>
    <row r="148" spans="1:3">
      <c r="A148" s="2">
        <v>16</v>
      </c>
      <c r="B148" s="2" t="s">
        <v>21</v>
      </c>
      <c r="C148" s="2" t="s">
        <v>6</v>
      </c>
    </row>
    <row r="149" spans="1:3">
      <c r="A149" s="2">
        <v>17</v>
      </c>
      <c r="B149" s="2" t="s">
        <v>12</v>
      </c>
      <c r="C149" s="2" t="s">
        <v>21</v>
      </c>
    </row>
    <row r="150" spans="1:3">
      <c r="A150" s="2">
        <v>17</v>
      </c>
      <c r="B150" s="2" t="s">
        <v>6</v>
      </c>
      <c r="C150" s="2" t="s">
        <v>16</v>
      </c>
    </row>
    <row r="151" spans="1:3">
      <c r="A151" s="2">
        <v>17</v>
      </c>
      <c r="B151" s="2" t="s">
        <v>8</v>
      </c>
      <c r="C151" s="2" t="s">
        <v>19</v>
      </c>
    </row>
    <row r="152" spans="1:3">
      <c r="A152" s="2">
        <v>17</v>
      </c>
      <c r="B152" s="2" t="s">
        <v>14</v>
      </c>
      <c r="C152" s="2" t="s">
        <v>5</v>
      </c>
    </row>
    <row r="153" spans="1:3">
      <c r="A153" s="2">
        <v>17</v>
      </c>
      <c r="B153" s="2" t="s">
        <v>11</v>
      </c>
      <c r="C153" s="2" t="s">
        <v>9</v>
      </c>
    </row>
    <row r="154" spans="1:3">
      <c r="A154" s="2">
        <v>17</v>
      </c>
      <c r="B154" s="2" t="s">
        <v>20</v>
      </c>
      <c r="C154" s="2" t="s">
        <v>7</v>
      </c>
    </row>
    <row r="155" spans="1:3">
      <c r="A155" s="2">
        <v>17</v>
      </c>
      <c r="B155" s="2" t="s">
        <v>22</v>
      </c>
      <c r="C155" s="2" t="s">
        <v>15</v>
      </c>
    </row>
    <row r="156" spans="1:3">
      <c r="A156" s="2">
        <v>17</v>
      </c>
      <c r="B156" s="2" t="s">
        <v>18</v>
      </c>
      <c r="C156" s="2" t="s">
        <v>13</v>
      </c>
    </row>
    <row r="157" spans="1:3">
      <c r="A157" s="2">
        <v>17</v>
      </c>
      <c r="B157" s="2" t="s">
        <v>10</v>
      </c>
      <c r="C157" s="2" t="s">
        <v>17</v>
      </c>
    </row>
  </sheetData>
  <mergeCells count="2">
    <mergeCell ref="A1:C1"/>
    <mergeCell ref="A2:C2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4" customWidth="1"/>
    <col min="2" max="3" width="16" customWidth="1"/>
    <col min="4" max="4" width="24" customWidth="1"/>
  </cols>
  <sheetData>
    <row r="1" spans="1:4" ht="26.1" customHeight="1">
      <c r="A1" s="3" t="s">
        <v>23</v>
      </c>
      <c r="B1" s="34"/>
      <c r="C1" s="34"/>
      <c r="D1" s="34"/>
    </row>
    <row r="2" spans="1:4">
      <c r="A2" s="4" t="s">
        <v>24</v>
      </c>
      <c r="B2" s="34"/>
      <c r="C2" s="34"/>
      <c r="D2" s="34"/>
    </row>
    <row r="4" spans="1:4">
      <c r="A4" s="1" t="s">
        <v>25</v>
      </c>
      <c r="B4" s="1" t="s">
        <v>26</v>
      </c>
      <c r="C4" s="1" t="s">
        <v>27</v>
      </c>
      <c r="D4" s="1" t="s">
        <v>28</v>
      </c>
    </row>
    <row r="5" spans="1:4">
      <c r="A5" s="2" t="s">
        <v>12</v>
      </c>
      <c r="B5" s="2">
        <v>11</v>
      </c>
      <c r="C5" s="2" t="s">
        <v>29</v>
      </c>
      <c r="D5" s="2" t="s">
        <v>30</v>
      </c>
    </row>
    <row r="6" spans="1:4">
      <c r="A6" s="2" t="s">
        <v>5</v>
      </c>
      <c r="B6" s="2" t="s">
        <v>31</v>
      </c>
      <c r="C6" s="2" t="s">
        <v>32</v>
      </c>
      <c r="D6" s="2" t="s">
        <v>30</v>
      </c>
    </row>
    <row r="7" spans="1:4">
      <c r="A7" s="2" t="s">
        <v>7</v>
      </c>
      <c r="B7" s="2">
        <v>4</v>
      </c>
      <c r="C7" s="2" t="s">
        <v>29</v>
      </c>
      <c r="D7" s="2" t="s">
        <v>33</v>
      </c>
    </row>
    <row r="8" spans="1:4">
      <c r="A8" s="2" t="s">
        <v>6</v>
      </c>
      <c r="B8" s="2" t="s">
        <v>31</v>
      </c>
      <c r="C8" s="2" t="s">
        <v>32</v>
      </c>
      <c r="D8" s="2" t="s">
        <v>30</v>
      </c>
    </row>
    <row r="9" spans="1:4">
      <c r="A9" s="2" t="s">
        <v>8</v>
      </c>
      <c r="B9" s="2">
        <v>15</v>
      </c>
      <c r="C9" s="2" t="s">
        <v>29</v>
      </c>
      <c r="D9" s="2" t="s">
        <v>30</v>
      </c>
    </row>
    <row r="10" spans="1:4">
      <c r="A10" s="2" t="s">
        <v>14</v>
      </c>
      <c r="B10" s="2">
        <v>2</v>
      </c>
      <c r="C10" s="2" t="s">
        <v>29</v>
      </c>
      <c r="D10" s="2" t="s">
        <v>34</v>
      </c>
    </row>
    <row r="11" spans="1:4">
      <c r="A11" s="2" t="s">
        <v>9</v>
      </c>
      <c r="B11" s="2">
        <v>1</v>
      </c>
      <c r="C11" s="2" t="s">
        <v>29</v>
      </c>
      <c r="D11" s="2" t="s">
        <v>34</v>
      </c>
    </row>
    <row r="12" spans="1:4">
      <c r="A12" s="2" t="s">
        <v>11</v>
      </c>
      <c r="B12" s="2">
        <v>12</v>
      </c>
      <c r="C12" s="2" t="s">
        <v>29</v>
      </c>
      <c r="D12" s="2" t="s">
        <v>30</v>
      </c>
    </row>
    <row r="13" spans="1:4">
      <c r="A13" s="2" t="s">
        <v>13</v>
      </c>
      <c r="B13" s="2">
        <v>14</v>
      </c>
      <c r="C13" s="2" t="s">
        <v>29</v>
      </c>
      <c r="D13" s="2" t="s">
        <v>30</v>
      </c>
    </row>
    <row r="14" spans="1:4">
      <c r="A14" s="2" t="s">
        <v>20</v>
      </c>
      <c r="B14" s="2">
        <v>6</v>
      </c>
      <c r="C14" s="2" t="s">
        <v>29</v>
      </c>
      <c r="D14" s="2" t="s">
        <v>30</v>
      </c>
    </row>
    <row r="15" spans="1:4">
      <c r="A15" s="2" t="s">
        <v>15</v>
      </c>
      <c r="B15" s="2">
        <v>13</v>
      </c>
      <c r="C15" s="2" t="s">
        <v>29</v>
      </c>
      <c r="D15" s="2" t="s">
        <v>30</v>
      </c>
    </row>
    <row r="16" spans="1:4">
      <c r="A16" s="2" t="s">
        <v>22</v>
      </c>
      <c r="B16" s="2">
        <v>10</v>
      </c>
      <c r="C16" s="2" t="s">
        <v>29</v>
      </c>
      <c r="D16" s="2" t="s">
        <v>30</v>
      </c>
    </row>
    <row r="17" spans="1:4">
      <c r="A17" s="2" t="s">
        <v>17</v>
      </c>
      <c r="B17" s="2">
        <v>9</v>
      </c>
      <c r="C17" s="2" t="s">
        <v>29</v>
      </c>
      <c r="D17" s="2" t="s">
        <v>30</v>
      </c>
    </row>
    <row r="18" spans="1:4">
      <c r="A18" s="2" t="s">
        <v>19</v>
      </c>
      <c r="B18" s="2">
        <v>7</v>
      </c>
      <c r="C18" s="2" t="s">
        <v>29</v>
      </c>
      <c r="D18" s="2" t="s">
        <v>30</v>
      </c>
    </row>
    <row r="19" spans="1:4">
      <c r="A19" s="2" t="s">
        <v>16</v>
      </c>
      <c r="B19" s="2">
        <v>3</v>
      </c>
      <c r="C19" s="2" t="s">
        <v>29</v>
      </c>
      <c r="D19" s="2" t="s">
        <v>33</v>
      </c>
    </row>
    <row r="20" spans="1:4">
      <c r="A20" s="2" t="s">
        <v>18</v>
      </c>
      <c r="B20" s="2">
        <v>8</v>
      </c>
      <c r="C20" s="2" t="s">
        <v>29</v>
      </c>
      <c r="D20" s="2" t="s">
        <v>30</v>
      </c>
    </row>
    <row r="21" spans="1:4">
      <c r="A21" s="2" t="s">
        <v>10</v>
      </c>
      <c r="B21" s="2" t="s">
        <v>31</v>
      </c>
      <c r="C21" s="2" t="s">
        <v>32</v>
      </c>
      <c r="D21" s="2" t="s">
        <v>30</v>
      </c>
    </row>
    <row r="22" spans="1:4">
      <c r="A22" s="2" t="s">
        <v>21</v>
      </c>
      <c r="B22" s="2">
        <v>5</v>
      </c>
      <c r="C22" s="2" t="s">
        <v>29</v>
      </c>
      <c r="D22" s="2" t="s">
        <v>35</v>
      </c>
    </row>
  </sheetData>
  <mergeCells count="2">
    <mergeCell ref="A1:D1"/>
    <mergeCell ref="A2:D2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8" customWidth="1"/>
    <col min="2" max="2" width="110" customWidth="1"/>
  </cols>
  <sheetData>
    <row r="1" spans="1:2" ht="26.1" customHeight="1">
      <c r="A1" s="3" t="s">
        <v>36</v>
      </c>
      <c r="B1" s="34"/>
    </row>
    <row r="2" spans="1:2">
      <c r="A2" s="4" t="s">
        <v>37</v>
      </c>
      <c r="B2" s="34"/>
    </row>
    <row r="4" spans="1:2">
      <c r="A4" s="1" t="s">
        <v>38</v>
      </c>
      <c r="B4" s="1" t="s">
        <v>39</v>
      </c>
    </row>
    <row r="5" spans="1:2">
      <c r="A5" s="2" t="s">
        <v>40</v>
      </c>
      <c r="B5" s="2" t="s">
        <v>41</v>
      </c>
    </row>
    <row r="6" spans="1:2">
      <c r="A6" s="2" t="s">
        <v>42</v>
      </c>
      <c r="B6" s="2" t="s">
        <v>43</v>
      </c>
    </row>
    <row r="7" spans="1:2">
      <c r="A7" s="2" t="s">
        <v>44</v>
      </c>
      <c r="B7" s="2" t="s">
        <v>45</v>
      </c>
    </row>
    <row r="8" spans="1:2">
      <c r="A8" s="2" t="s">
        <v>46</v>
      </c>
      <c r="B8" s="2" t="s">
        <v>47</v>
      </c>
    </row>
    <row r="9" spans="1:2">
      <c r="A9" s="2" t="s">
        <v>48</v>
      </c>
      <c r="B9" s="2" t="s">
        <v>49</v>
      </c>
    </row>
    <row r="10" spans="1:2">
      <c r="A10" s="2" t="s">
        <v>50</v>
      </c>
      <c r="B10" s="2" t="s">
        <v>51</v>
      </c>
    </row>
    <row r="11" spans="1:2">
      <c r="A11" s="2" t="s">
        <v>52</v>
      </c>
      <c r="B11" s="2" t="s">
        <v>53</v>
      </c>
    </row>
    <row r="12" spans="1:2">
      <c r="A12" s="2" t="s">
        <v>54</v>
      </c>
      <c r="B12" s="2" t="s">
        <v>55</v>
      </c>
    </row>
  </sheetData>
  <mergeCells count="2">
    <mergeCell ref="A2:B2"/>
    <mergeCell ref="A1:B1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9E2F3"/>
  </sheetPr>
  <dimension ref="A1:U36"/>
  <sheetViews>
    <sheetView tabSelected="1" workbookViewId="0">
      <selection sqref="A1:K1"/>
    </sheetView>
  </sheetViews>
  <sheetFormatPr defaultRowHeight="15"/>
  <cols>
    <col min="1" max="1" width="26.7109375" customWidth="1"/>
    <col min="2" max="2" width="14.28515625" customWidth="1"/>
    <col min="3" max="3" width="12.42578125" customWidth="1"/>
    <col min="4" max="4" width="24.7109375" customWidth="1"/>
    <col min="5" max="5" width="9.5703125" customWidth="1"/>
    <col min="6" max="6" width="19" customWidth="1"/>
    <col min="7" max="7" width="21" customWidth="1"/>
    <col min="8" max="8" width="19" customWidth="1"/>
    <col min="9" max="9" width="14.28515625" customWidth="1"/>
    <col min="10" max="10" width="13.28515625" customWidth="1"/>
    <col min="11" max="11" width="21" customWidth="1"/>
    <col min="12" max="12" width="9.5703125" customWidth="1"/>
    <col min="14" max="14" width="19" customWidth="1"/>
    <col min="15" max="15" width="16.140625" customWidth="1"/>
    <col min="16" max="16" width="18.140625" customWidth="1"/>
    <col min="17" max="17" width="9.5703125" customWidth="1"/>
    <col min="19" max="21" width="0" hidden="1" customWidth="1"/>
  </cols>
  <sheetData>
    <row r="1" spans="1:21" ht="26.1" customHeight="1">
      <c r="A1" s="5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21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4" spans="1:21">
      <c r="A4" s="36" t="s">
        <v>58</v>
      </c>
      <c r="B4" s="36"/>
      <c r="D4" s="36" t="s">
        <v>59</v>
      </c>
      <c r="E4" s="36"/>
      <c r="N4" s="26" t="s">
        <v>60</v>
      </c>
      <c r="O4" s="26"/>
      <c r="P4" s="26"/>
      <c r="Q4" s="26"/>
    </row>
    <row r="5" spans="1:21">
      <c r="A5" t="s">
        <v>61</v>
      </c>
      <c r="B5" s="6">
        <v>0.5</v>
      </c>
      <c r="D5" t="s">
        <v>34</v>
      </c>
      <c r="E5" s="9">
        <v>3</v>
      </c>
      <c r="N5" s="37" t="s">
        <v>62</v>
      </c>
      <c r="O5" s="37"/>
      <c r="P5" s="37"/>
      <c r="Q5" s="37"/>
    </row>
    <row r="6" spans="1:21">
      <c r="A6" t="s">
        <v>63</v>
      </c>
      <c r="B6" s="6">
        <v>0.15</v>
      </c>
      <c r="D6" t="s">
        <v>33</v>
      </c>
      <c r="E6" s="9">
        <v>2</v>
      </c>
    </row>
    <row r="7" spans="1:21">
      <c r="A7" t="s">
        <v>64</v>
      </c>
      <c r="B7" s="6">
        <v>0.2</v>
      </c>
      <c r="D7" t="s">
        <v>35</v>
      </c>
      <c r="E7" s="9">
        <v>1</v>
      </c>
      <c r="N7" s="29" t="s">
        <v>25</v>
      </c>
      <c r="O7" s="29" t="s">
        <v>65</v>
      </c>
      <c r="P7" s="29" t="s">
        <v>66</v>
      </c>
      <c r="Q7" s="29" t="s">
        <v>67</v>
      </c>
    </row>
    <row r="8" spans="1:21">
      <c r="A8" t="s">
        <v>50</v>
      </c>
      <c r="B8" s="6">
        <v>0.15</v>
      </c>
      <c r="D8" t="s">
        <v>30</v>
      </c>
      <c r="E8" s="9">
        <v>0</v>
      </c>
      <c r="N8" s="19" t="s">
        <v>9</v>
      </c>
      <c r="O8" s="30">
        <f>_xlfn.XLOOKUP("Galatasaray",$A$12:$A$29,$L$12:$L$29,"—")</f>
        <v>13</v>
      </c>
      <c r="P8" s="30">
        <f>_xlfn.XLOOKUP("Galatasaray",$A$12:$A$29,$U$12:$U$29,"—")</f>
        <v>7</v>
      </c>
      <c r="Q8" s="30">
        <f>O8-P8</f>
        <v>6</v>
      </c>
    </row>
    <row r="9" spans="1:21">
      <c r="A9" s="7" t="s">
        <v>68</v>
      </c>
      <c r="B9" s="8">
        <f>SUM(B5:B8)</f>
        <v>1</v>
      </c>
      <c r="D9" s="11" t="s">
        <v>69</v>
      </c>
      <c r="N9" s="20" t="s">
        <v>14</v>
      </c>
      <c r="O9" s="31">
        <f>_xlfn.XLOOKUP("Fenerbahçe",$A$12:$A$29,$L$12:$L$29,"—")</f>
        <v>16</v>
      </c>
      <c r="P9" s="31">
        <f>_xlfn.XLOOKUP("Fenerbahçe",$A$12:$A$29,$U$12:$U$29,"—")</f>
        <v>10</v>
      </c>
      <c r="Q9" s="31">
        <f>O9-P9</f>
        <v>6</v>
      </c>
    </row>
    <row r="10" spans="1:21">
      <c r="N10" s="19" t="s">
        <v>7</v>
      </c>
      <c r="O10" s="30">
        <f>_xlfn.XLOOKUP("Beşiktaş",$A$12:$A$29,$L$12:$L$29,"—")</f>
        <v>10</v>
      </c>
      <c r="P10" s="30">
        <f>_xlfn.XLOOKUP("Beşiktaş",$A$12:$A$29,$U$12:$U$29,"—")</f>
        <v>9</v>
      </c>
      <c r="Q10" s="30">
        <f>O10-P10</f>
        <v>1</v>
      </c>
    </row>
    <row r="11" spans="1:21" ht="36" customHeight="1">
      <c r="A11" s="13" t="s">
        <v>25</v>
      </c>
      <c r="B11" s="13" t="s">
        <v>70</v>
      </c>
      <c r="C11" s="13" t="s">
        <v>71</v>
      </c>
      <c r="D11" s="13" t="s">
        <v>4</v>
      </c>
      <c r="E11" s="13" t="s">
        <v>63</v>
      </c>
      <c r="F11" s="13" t="s">
        <v>72</v>
      </c>
      <c r="G11" s="13" t="s">
        <v>73</v>
      </c>
      <c r="H11" s="13" t="s">
        <v>74</v>
      </c>
      <c r="I11" s="13" t="s">
        <v>64</v>
      </c>
      <c r="J11" s="13" t="s">
        <v>75</v>
      </c>
      <c r="K11" s="13" t="s">
        <v>76</v>
      </c>
      <c r="L11" s="13" t="s">
        <v>77</v>
      </c>
      <c r="N11" s="20" t="s">
        <v>16</v>
      </c>
      <c r="O11" s="31">
        <f>_xlfn.XLOOKUP("Trabzonspor",$A$12:$A$29,$L$12:$L$29,"—")</f>
        <v>9</v>
      </c>
      <c r="P11" s="31">
        <f>_xlfn.XLOOKUP("Trabzonspor",$A$12:$A$29,$U$12:$U$29,"—")</f>
        <v>5</v>
      </c>
      <c r="Q11" s="31">
        <f>O11-P11</f>
        <v>4</v>
      </c>
      <c r="S11" s="28" t="s">
        <v>78</v>
      </c>
      <c r="T11" s="28" t="s">
        <v>79</v>
      </c>
      <c r="U11" s="28" t="s">
        <v>80</v>
      </c>
    </row>
    <row r="12" spans="1:21">
      <c r="A12" s="14" t="str">
        <f>INDEX(Kulupler[Kulüp],1)</f>
        <v>Alanyaspor</v>
      </c>
      <c r="B12" s="14">
        <f>IF(ISNUMBER(INDEX(Kulupler[2025-26 Sırası],1)),INDEX(Kulupler[2025-26 Sırası],1),17)</f>
        <v>11</v>
      </c>
      <c r="C12" s="14">
        <f>COUNTIF(IlkDevreFiksturu[Ev Sahibi],A12)</f>
        <v>8</v>
      </c>
      <c r="D12" s="14">
        <f>COUNTIF(IlkDevreFiksturu[Deplasman],A12)</f>
        <v>9</v>
      </c>
      <c r="E12" s="14">
        <f>C12-D12</f>
        <v>-1</v>
      </c>
      <c r="F12" s="23" cm="1">
        <f t="array" ref="F12">SUMPRODUCT((IlkDevreFiksturu[Deplasman]=A12)*(IFERROR(_xlfn.XLOOKUP(IlkDevreFiksturu[Ev Sahibi],$A$12:$A$29,$B$12:$B$29,17),17)))</f>
        <v>99</v>
      </c>
      <c r="G12" s="15">
        <f>F12-AVERAGE($F$12:$F$29)</f>
        <v>17.777777777777771</v>
      </c>
      <c r="H12" s="23" cm="1">
        <f t="array" ref="H12">SUMPRODUCT((IlkDevreFiksturu[Hafta]&lt;=5)*(IlkDevreFiksturu[Ev Sahibi]=A12)*(IFERROR(_xlfn.XLOOKUP(IlkDevreFiksturu[Deplasman],$A$12:$A$29,$B$12:$B$29,17),17)))+SUMPRODUCT((IlkDevreFiksturu[Hafta]&lt;=5)*(IlkDevreFiksturu[Deplasman]=A12)*(IFERROR(_xlfn.XLOOKUP(IlkDevreFiksturu[Ev Sahibi],$A$12:$A$29,$B$12:$B$29,17),17)))</f>
        <v>45</v>
      </c>
      <c r="I12" s="14" cm="1">
        <f t="array" ref="I12">_xlfn.SWITCH(INDEX(Kulupler[2026-27 Avrupa Kupası],MATCH(A12,Kulupler[Kulüp],0)),"Şampiyonlar Ligi",$E$5,"Avrupa Ligi",$E$6,"Konferans Ligi",$E$7,"Yok",$E$8,0)</f>
        <v>0</v>
      </c>
      <c r="J12" s="15">
        <f>((G12-MIN($G$12:$G$29))/(MAX($G$12:$G$29)-MIN($G$12:$G$29))*100)*$B$5+((E12-MIN($E$12:$E$29))/(MAX($E$12:$E$29)-MIN($E$12:$E$29))*100)*$B$6+(100-IF(MAX($I$12:$I$29)=MIN($I$12:$I$29),50,(I12-MIN($I$12:$I$29))/(MAX($I$12:$I$29)-MIN($I$12:$I$29))*100))*$B$7+((H12-MIN($H$12:$H$29))/(MAX($H$12:$H$29)-MIN($H$12:$H$29))*100)*$B$8</f>
        <v>73.913043478260875</v>
      </c>
      <c r="K12" s="18">
        <f>IF(MAX($J$12:$J$29)=MIN($J$12:$J$29),50,(J12-MIN($J$12:$J$29))/(MAX($J$12:$J$29)-MIN($J$12:$J$29))*100)</f>
        <v>83.980582524271867</v>
      </c>
      <c r="L12" s="21">
        <f>RANK(K12,$K$12:$K$29,0)</f>
        <v>4</v>
      </c>
      <c r="S12" s="12">
        <f>((G12-MIN($G$12:$G$29))/(MAX($G$12:$G$29)-MIN($G$12:$G$29))*100)*($B$5+$B$7)+((E12-MIN($E$12:$E$29))/(MAX($E$12:$E$29)-MIN($E$12:$E$29))*100)*$B$6+((H12-MIN($H$12:$H$29))/(MAX($H$12:$H$29)-MIN($H$12:$H$29))*100)*$B$8</f>
        <v>73.913043478260875</v>
      </c>
      <c r="T12" s="12">
        <f>IF(MAX($S$12:$S$29)=MIN($S$12:$S$29),50,(S12-MIN($S$12:$S$29))/(MAX($S$12:$S$29)-MIN($S$12:$S$29))*100)</f>
        <v>88.926174496644308</v>
      </c>
      <c r="U12">
        <f>RANK(T12,$T$12:$T$29,0)</f>
        <v>2</v>
      </c>
    </row>
    <row r="13" spans="1:21">
      <c r="A13" s="16" t="str">
        <f>INDEX(Kulupler[Kulüp],2)</f>
        <v>Amed SFK</v>
      </c>
      <c r="B13" s="16">
        <f>IF(ISNUMBER(INDEX(Kulupler[2025-26 Sırası],2)),INDEX(Kulupler[2025-26 Sırası],2),17)</f>
        <v>17</v>
      </c>
      <c r="C13" s="16">
        <f>COUNTIF(IlkDevreFiksturu[Ev Sahibi],A13)</f>
        <v>9</v>
      </c>
      <c r="D13" s="16">
        <f>COUNTIF(IlkDevreFiksturu[Deplasman],A13)</f>
        <v>8</v>
      </c>
      <c r="E13" s="16">
        <f>C13-D13</f>
        <v>1</v>
      </c>
      <c r="F13" s="24" cm="1">
        <f t="array" ref="F13">SUMPRODUCT((IlkDevreFiksturu[Deplasman]=A13)*(IFERROR(_xlfn.XLOOKUP(IlkDevreFiksturu[Ev Sahibi],$A$12:$A$29,$B$12:$B$29,17),17)))</f>
        <v>76</v>
      </c>
      <c r="G13" s="17">
        <f>F13-AVERAGE($F$12:$F$29)</f>
        <v>-5.2222222222222285</v>
      </c>
      <c r="H13" s="24" cm="1">
        <f t="array" ref="H13">SUMPRODUCT((IlkDevreFiksturu[Hafta]&lt;=5)*(IlkDevreFiksturu[Ev Sahibi]=A13)*(IFERROR(_xlfn.XLOOKUP(IlkDevreFiksturu[Deplasman],$A$12:$A$29,$B$12:$B$29,17),17)))+SUMPRODUCT((IlkDevreFiksturu[Hafta]&lt;=5)*(IlkDevreFiksturu[Deplasman]=A13)*(IFERROR(_xlfn.XLOOKUP(IlkDevreFiksturu[Ev Sahibi],$A$12:$A$29,$B$12:$B$29,17),17)))</f>
        <v>48</v>
      </c>
      <c r="I13" s="16" cm="1">
        <f t="array" ref="I13">_xlfn.SWITCH(INDEX(Kulupler[2026-27 Avrupa Kupası],MATCH(A13,Kulupler[Kulüp],0)),"Şampiyonlar Ligi",$E$5,"Avrupa Ligi",$E$6,"Konferans Ligi",$E$7,"Yok",$E$8,0)</f>
        <v>0</v>
      </c>
      <c r="J13" s="17">
        <f>((G13-MIN($G$12:$G$29))/(MAX($G$12:$G$29)-MIN($G$12:$G$29))*100)*$B$5+((E13-MIN($E$12:$E$29))/(MAX($E$12:$E$29)-MIN($E$12:$E$29))*100)*$B$6+(100-IF(MAX($I$12:$I$29)=MIN($I$12:$I$29),50,(I13-MIN($I$12:$I$29))/(MAX($I$12:$I$29)-MIN($I$12:$I$29))*100))*$B$7+((H13-MIN($H$12:$H$29))/(MAX($H$12:$H$29)-MIN($H$12:$H$29))*100)*$B$8</f>
        <v>66.401480111008325</v>
      </c>
      <c r="K13" s="18">
        <f>IF(MAX($J$12:$J$29)=MIN($J$12:$J$29),50,(J13-MIN($J$12:$J$29))/(MAX($J$12:$J$29)-MIN($J$12:$J$29))*100)</f>
        <v>67.207188597397234</v>
      </c>
      <c r="L13" s="22">
        <f>RANK(K13,$K$12:$K$29,0)</f>
        <v>7</v>
      </c>
      <c r="N13" s="27" t="s">
        <v>81</v>
      </c>
      <c r="S13" s="12">
        <f>((G13-MIN($G$12:$G$29))/(MAX($G$12:$G$29)-MIN($G$12:$G$29))*100)*($B$5+$B$7)+((E13-MIN($E$12:$E$29))/(MAX($E$12:$E$29)-MIN($E$12:$E$29))*100)*$B$6+((H13-MIN($H$12:$H$29))/(MAX($H$12:$H$29)-MIN($H$12:$H$29))*100)*$B$8</f>
        <v>56.614246068455131</v>
      </c>
      <c r="T13" s="12">
        <f>IF(MAX($S$12:$S$29)=MIN($S$12:$S$29),50,(S13-MIN($S$12:$S$29))/(MAX($S$12:$S$29)-MIN($S$12:$S$29))*100)</f>
        <v>62.223332857346861</v>
      </c>
      <c r="U13">
        <f>RANK(T13,$T$12:$T$29,0)</f>
        <v>11</v>
      </c>
    </row>
    <row r="14" spans="1:21">
      <c r="A14" s="14" t="str">
        <f>INDEX(Kulupler[Kulüp],3)</f>
        <v>Beşiktaş</v>
      </c>
      <c r="B14" s="14">
        <f>IF(ISNUMBER(INDEX(Kulupler[2025-26 Sırası],3)),INDEX(Kulupler[2025-26 Sırası],3),17)</f>
        <v>4</v>
      </c>
      <c r="C14" s="14">
        <f>COUNTIF(IlkDevreFiksturu[Ev Sahibi],A14)</f>
        <v>9</v>
      </c>
      <c r="D14" s="14">
        <f>COUNTIF(IlkDevreFiksturu[Deplasman],A14)</f>
        <v>8</v>
      </c>
      <c r="E14" s="14">
        <f>C14-D14</f>
        <v>1</v>
      </c>
      <c r="F14" s="23" cm="1">
        <f t="array" ref="F14">SUMPRODUCT((IlkDevreFiksturu[Deplasman]=A14)*(IFERROR(_xlfn.XLOOKUP(IlkDevreFiksturu[Ev Sahibi],$A$12:$A$29,$B$12:$B$29,17),17)))</f>
        <v>73</v>
      </c>
      <c r="G14" s="15">
        <f>F14-AVERAGE($F$12:$F$29)</f>
        <v>-8.2222222222222285</v>
      </c>
      <c r="H14" s="23" cm="1">
        <f t="array" ref="H14">SUMPRODUCT((IlkDevreFiksturu[Hafta]&lt;=5)*(IlkDevreFiksturu[Ev Sahibi]=A14)*(IFERROR(_xlfn.XLOOKUP(IlkDevreFiksturu[Deplasman],$A$12:$A$29,$B$12:$B$29,17),17)))+SUMPRODUCT((IlkDevreFiksturu[Hafta]&lt;=5)*(IlkDevreFiksturu[Deplasman]=A14)*(IFERROR(_xlfn.XLOOKUP(IlkDevreFiksturu[Ev Sahibi],$A$12:$A$29,$B$12:$B$29,17),17)))</f>
        <v>62</v>
      </c>
      <c r="I14" s="14" cm="1">
        <f t="array" ref="I14">_xlfn.SWITCH(INDEX(Kulupler[2026-27 Avrupa Kupası],MATCH(A14,Kulupler[Kulüp],0)),"Şampiyonlar Ligi",$E$5,"Avrupa Ligi",$E$6,"Konferans Ligi",$E$7,"Yok",$E$8,0)</f>
        <v>2</v>
      </c>
      <c r="J14" s="15">
        <f>((G14-MIN($G$12:$G$29))/(MAX($G$12:$G$29)-MIN($G$12:$G$29))*100)*$B$5+((E14-MIN($E$12:$E$29))/(MAX($E$12:$E$29)-MIN($E$12:$E$29))*100)*$B$6+(100-IF(MAX($I$12:$I$29)=MIN($I$12:$I$29),50,(I14-MIN($I$12:$I$29))/(MAX($I$12:$I$29)-MIN($I$12:$I$29))*100))*$B$7+((H14-MIN($H$12:$H$29))/(MAX($H$12:$H$29)-MIN($H$12:$H$29))*100)*$B$8</f>
        <v>59.00709219858156</v>
      </c>
      <c r="K14" s="18">
        <f>IF(MAX($J$12:$J$29)=MIN($J$12:$J$29),50,(J14-MIN($J$12:$J$29))/(MAX($J$12:$J$29)-MIN($J$12:$J$29))*100)</f>
        <v>50.695448598774362</v>
      </c>
      <c r="L14" s="21">
        <f>RANK(K14,$K$12:$K$29,0)</f>
        <v>10</v>
      </c>
      <c r="N14" s="32" t="s">
        <v>82</v>
      </c>
      <c r="O14" s="32"/>
      <c r="P14" s="32"/>
      <c r="Q14" s="32"/>
      <c r="S14" s="12">
        <f>((G14-MIN($G$12:$G$29))/(MAX($G$12:$G$29)-MIN($G$12:$G$29))*100)*($B$5+$B$7)+((E14-MIN($E$12:$E$29))/(MAX($E$12:$E$29)-MIN($E$12:$E$29))*100)*$B$6+((H14-MIN($H$12:$H$29))/(MAX($H$12:$H$29)-MIN($H$12:$H$29))*100)*$B$8</f>
        <v>61.276595744680847</v>
      </c>
      <c r="T14" s="12">
        <f>IF(MAX($S$12:$S$29)=MIN($S$12:$S$29),50,(S14-MIN($S$12:$S$29))/(MAX($S$12:$S$29)-MIN($S$12:$S$29))*100)</f>
        <v>69.420248464943597</v>
      </c>
      <c r="U14">
        <f>RANK(T14,$T$12:$T$29,0)</f>
        <v>9</v>
      </c>
    </row>
    <row r="15" spans="1:21">
      <c r="A15" s="16" t="str">
        <f>INDEX(Kulupler[Kulüp],4)</f>
        <v>Erzurumspor FK</v>
      </c>
      <c r="B15" s="16">
        <f>IF(ISNUMBER(INDEX(Kulupler[2025-26 Sırası],4)),INDEX(Kulupler[2025-26 Sırası],4),17)</f>
        <v>17</v>
      </c>
      <c r="C15" s="16">
        <f>COUNTIF(IlkDevreFiksturu[Ev Sahibi],A15)</f>
        <v>9</v>
      </c>
      <c r="D15" s="16">
        <f>COUNTIF(IlkDevreFiksturu[Deplasman],A15)</f>
        <v>8</v>
      </c>
      <c r="E15" s="16">
        <f>C15-D15</f>
        <v>1</v>
      </c>
      <c r="F15" s="24" cm="1">
        <f t="array" ref="F15">SUMPRODUCT((IlkDevreFiksturu[Deplasman]=A15)*(IFERROR(_xlfn.XLOOKUP(IlkDevreFiksturu[Ev Sahibi],$A$12:$A$29,$B$12:$B$29,17),17)))</f>
        <v>73</v>
      </c>
      <c r="G15" s="17">
        <f>F15-AVERAGE($F$12:$F$29)</f>
        <v>-8.2222222222222285</v>
      </c>
      <c r="H15" s="24" cm="1">
        <f t="array" ref="H15">SUMPRODUCT((IlkDevreFiksturu[Hafta]&lt;=5)*(IlkDevreFiksturu[Ev Sahibi]=A15)*(IFERROR(_xlfn.XLOOKUP(IlkDevreFiksturu[Deplasman],$A$12:$A$29,$B$12:$B$29,17),17)))+SUMPRODUCT((IlkDevreFiksturu[Hafta]&lt;=5)*(IlkDevreFiksturu[Deplasman]=A15)*(IFERROR(_xlfn.XLOOKUP(IlkDevreFiksturu[Ev Sahibi],$A$12:$A$29,$B$12:$B$29,17),17)))</f>
        <v>45</v>
      </c>
      <c r="I15" s="16" cm="1">
        <f t="array" ref="I15">_xlfn.SWITCH(INDEX(Kulupler[2026-27 Avrupa Kupası],MATCH(A15,Kulupler[Kulüp],0)),"Şampiyonlar Ligi",$E$5,"Avrupa Ligi",$E$6,"Konferans Ligi",$E$7,"Yok",$E$8,0)</f>
        <v>0</v>
      </c>
      <c r="J15" s="17">
        <f>((G15-MIN($G$12:$G$29))/(MAX($G$12:$G$29)-MIN($G$12:$G$29))*100)*$B$5+((E15-MIN($E$12:$E$29))/(MAX($E$12:$E$29)-MIN($E$12:$E$29))*100)*$B$6+(100-IF(MAX($I$12:$I$29)=MIN($I$12:$I$29),50,(I15-MIN($I$12:$I$29))/(MAX($I$12:$I$29)-MIN($I$12:$I$29))*100))*$B$7+((H15-MIN($H$12:$H$29))/(MAX($H$12:$H$29)-MIN($H$12:$H$29))*100)*$B$8</f>
        <v>61.253469010175756</v>
      </c>
      <c r="K15" s="18">
        <f>IF(MAX($J$12:$J$29)=MIN($J$12:$J$29),50,(J15-MIN($J$12:$J$29))/(MAX($J$12:$J$29)-MIN($J$12:$J$29))*100)</f>
        <v>55.711629828547814</v>
      </c>
      <c r="L15" s="22">
        <f>RANK(K15,$K$12:$K$29,0)</f>
        <v>8</v>
      </c>
      <c r="N15" s="33" t="str" cm="1">
        <f t="array" ref="N15">IF(COUNTIF(Q8:Q11,0)=0,"Ağırlık değişiminden bağımsız yerinde kalan kulüp yok; Avrupa yükü dört büyüğün sıralamasını doğrudan etkiliyor.",IF(COUNTIF(Q8:Q11,0)=4,"Dört büyüğün sırası ağırlık değişiminden etkilenmiyor.","Yerinde kalan: "&amp;_xlfn.TEXTJOIN(", ",TRUE,IF(Q8:Q11=0,N8:N11,""))))</f>
        <v>Ağırlık değişiminden bağımsız yerinde kalan kulüp yok; Avrupa yükü dört büyüğün sıralamasını doğrudan etkiliyor.</v>
      </c>
      <c r="O15" s="33"/>
      <c r="P15" s="33"/>
      <c r="Q15" s="33"/>
      <c r="S15" s="12">
        <f>((G15-MIN($G$12:$G$29))/(MAX($G$12:$G$29)-MIN($G$12:$G$29))*100)*($B$5+$B$7)+((E15-MIN($E$12:$E$29))/(MAX($E$12:$E$29)-MIN($E$12:$E$29))*100)*$B$6+((H15-MIN($H$12:$H$29))/(MAX($H$12:$H$29)-MIN($H$12:$H$29))*100)*$B$8</f>
        <v>50.189639222941715</v>
      </c>
      <c r="T15" s="12">
        <f>IF(MAX($S$12:$S$29)=MIN($S$12:$S$29),50,(S15-MIN($S$12:$S$29))/(MAX($S$12:$S$29)-MIN($S$12:$S$29))*100)</f>
        <v>52.306154505212035</v>
      </c>
      <c r="U15">
        <f>RANK(T15,$T$12:$T$29,0)</f>
        <v>13</v>
      </c>
    </row>
    <row r="16" spans="1:21">
      <c r="A16" s="14" t="str">
        <f>INDEX(Kulupler[Kulüp],5)</f>
        <v>Eyüpspor</v>
      </c>
      <c r="B16" s="14">
        <f>IF(ISNUMBER(INDEX(Kulupler[2025-26 Sırası],5)),INDEX(Kulupler[2025-26 Sırası],5),17)</f>
        <v>15</v>
      </c>
      <c r="C16" s="14">
        <f>COUNTIF(IlkDevreFiksturu[Ev Sahibi],A16)</f>
        <v>9</v>
      </c>
      <c r="D16" s="14">
        <f>COUNTIF(IlkDevreFiksturu[Deplasman],A16)</f>
        <v>8</v>
      </c>
      <c r="E16" s="14">
        <f>C16-D16</f>
        <v>1</v>
      </c>
      <c r="F16" s="23" cm="1">
        <f t="array" ref="F16">SUMPRODUCT((IlkDevreFiksturu[Deplasman]=A16)*(IFERROR(_xlfn.XLOOKUP(IlkDevreFiksturu[Ev Sahibi],$A$12:$A$29,$B$12:$B$29,17),17)))</f>
        <v>83</v>
      </c>
      <c r="G16" s="15">
        <f>F16-AVERAGE($F$12:$F$29)</f>
        <v>1.7777777777777715</v>
      </c>
      <c r="H16" s="23" cm="1">
        <f t="array" ref="H16">SUMPRODUCT((IlkDevreFiksturu[Hafta]&lt;=5)*(IlkDevreFiksturu[Ev Sahibi]=A16)*(IFERROR(_xlfn.XLOOKUP(IlkDevreFiksturu[Deplasman],$A$12:$A$29,$B$12:$B$29,17),17)))+SUMPRODUCT((IlkDevreFiksturu[Hafta]&lt;=5)*(IlkDevreFiksturu[Deplasman]=A16)*(IFERROR(_xlfn.XLOOKUP(IlkDevreFiksturu[Ev Sahibi],$A$12:$A$29,$B$12:$B$29,17),17)))</f>
        <v>52</v>
      </c>
      <c r="I16" s="14" cm="1">
        <f t="array" ref="I16">_xlfn.SWITCH(INDEX(Kulupler[2026-27 Avrupa Kupası],MATCH(A16,Kulupler[Kulüp],0)),"Şampiyonlar Ligi",$E$5,"Avrupa Ligi",$E$6,"Konferans Ligi",$E$7,"Yok",$E$8,0)</f>
        <v>0</v>
      </c>
      <c r="J16" s="15">
        <f>((G16-MIN($G$12:$G$29))/(MAX($G$12:$G$29)-MIN($G$12:$G$29))*100)*$B$5+((E16-MIN($E$12:$E$29))/(MAX($E$12:$E$29)-MIN($E$12:$E$29))*100)*$B$6+(100-IF(MAX($I$12:$I$29)=MIN($I$12:$I$29),50,(I16-MIN($I$12:$I$29))/(MAX($I$12:$I$29)-MIN($I$12:$I$29))*100))*$B$7+((H16-MIN($H$12:$H$29))/(MAX($H$12:$H$29)-MIN($H$12:$H$29))*100)*$B$8</f>
        <v>76.456984273820538</v>
      </c>
      <c r="K16" s="18">
        <f>IF(MAX($J$12:$J$29)=MIN($J$12:$J$29),50,(J16-MIN($J$12:$J$29))/(MAX($J$12:$J$29)-MIN($J$12:$J$29))*100)</f>
        <v>89.661227019210926</v>
      </c>
      <c r="L16" s="21">
        <f>RANK(K16,$K$12:$K$29,0)</f>
        <v>2</v>
      </c>
      <c r="S16" s="12">
        <f>((G16-MIN($G$12:$G$29))/(MAX($G$12:$G$29)-MIN($G$12:$G$29))*100)*($B$5+$B$7)+((E16-MIN($E$12:$E$29))/(MAX($E$12:$E$29)-MIN($E$12:$E$29))*100)*$B$6+((H16-MIN($H$12:$H$29))/(MAX($H$12:$H$29)-MIN($H$12:$H$29))*100)*$B$8</f>
        <v>69.648473635522663</v>
      </c>
      <c r="T16" s="12">
        <f>IF(MAX($S$12:$S$29)=MIN($S$12:$S$29),50,(S16-MIN($S$12:$S$29))/(MAX($S$12:$S$29)-MIN($S$12:$S$29))*100)</f>
        <v>82.343281450806799</v>
      </c>
      <c r="U16">
        <f>RANK(T16,$T$12:$T$29,0)</f>
        <v>4</v>
      </c>
    </row>
    <row r="17" spans="1:21">
      <c r="A17" s="16" t="str">
        <f>INDEX(Kulupler[Kulüp],6)</f>
        <v>Fenerbahçe</v>
      </c>
      <c r="B17" s="16">
        <f>IF(ISNUMBER(INDEX(Kulupler[2025-26 Sırası],6)),INDEX(Kulupler[2025-26 Sırası],6),17)</f>
        <v>2</v>
      </c>
      <c r="C17" s="16">
        <f>COUNTIF(IlkDevreFiksturu[Ev Sahibi],A17)</f>
        <v>8</v>
      </c>
      <c r="D17" s="16">
        <f>COUNTIF(IlkDevreFiksturu[Deplasman],A17)</f>
        <v>9</v>
      </c>
      <c r="E17" s="16">
        <f>C17-D17</f>
        <v>-1</v>
      </c>
      <c r="F17" s="24" cm="1">
        <f t="array" ref="F17">SUMPRODUCT((IlkDevreFiksturu[Deplasman]=A17)*(IFERROR(_xlfn.XLOOKUP(IlkDevreFiksturu[Ev Sahibi],$A$12:$A$29,$B$12:$B$29,17),17)))</f>
        <v>87</v>
      </c>
      <c r="G17" s="17">
        <f>F17-AVERAGE($F$12:$F$29)</f>
        <v>5.7777777777777715</v>
      </c>
      <c r="H17" s="24" cm="1">
        <f t="array" ref="H17">SUMPRODUCT((IlkDevreFiksturu[Hafta]&lt;=5)*(IlkDevreFiksturu[Ev Sahibi]=A17)*(IFERROR(_xlfn.XLOOKUP(IlkDevreFiksturu[Deplasman],$A$12:$A$29,$B$12:$B$29,17),17)))+SUMPRODUCT((IlkDevreFiksturu[Hafta]&lt;=5)*(IlkDevreFiksturu[Deplasman]=A17)*(IFERROR(_xlfn.XLOOKUP(IlkDevreFiksturu[Ev Sahibi],$A$12:$A$29,$B$12:$B$29,17),17)))</f>
        <v>46</v>
      </c>
      <c r="I17" s="16" cm="1">
        <f t="array" ref="I17">_xlfn.SWITCH(INDEX(Kulupler[2026-27 Avrupa Kupası],MATCH(A17,Kulupler[Kulüp],0)),"Şampiyonlar Ligi",$E$5,"Avrupa Ligi",$E$6,"Konferans Ligi",$E$7,"Yok",$E$8,0)</f>
        <v>3</v>
      </c>
      <c r="J17" s="17">
        <f>((G17-MIN($G$12:$G$29))/(MAX($G$12:$G$29)-MIN($G$12:$G$29))*100)*$B$5+((E17-MIN($E$12:$E$29))/(MAX($E$12:$E$29)-MIN($E$12:$E$29))*100)*$B$6+(100-IF(MAX($I$12:$I$29)=MIN($I$12:$I$29),50,(I17-MIN($I$12:$I$29))/(MAX($I$12:$I$29)-MIN($I$12:$I$29))*100))*$B$7+((H17-MIN($H$12:$H$29))/(MAX($H$12:$H$29)-MIN($H$12:$H$29))*100)*$B$8</f>
        <v>41.799259944495837</v>
      </c>
      <c r="K17" s="18">
        <f>IF(MAX($J$12:$J$29)=MIN($J$12:$J$29),50,(J17-MIN($J$12:$J$29))/(MAX($J$12:$J$29)-MIN($J$12:$J$29))*100)</f>
        <v>12.270192109068381</v>
      </c>
      <c r="L17" s="22">
        <f>RANK(K17,$K$12:$K$29,0)</f>
        <v>16</v>
      </c>
      <c r="S17" s="12">
        <f>((G17-MIN($G$12:$G$29))/(MAX($G$12:$G$29)-MIN($G$12:$G$29))*100)*($B$5+$B$7)+((E17-MIN($E$12:$E$29))/(MAX($E$12:$E$29)-MIN($E$12:$E$29))*100)*$B$6+((H17-MIN($H$12:$H$29))/(MAX($H$12:$H$29)-MIN($H$12:$H$29))*100)*$B$8</f>
        <v>56.692876965772427</v>
      </c>
      <c r="T17" s="12">
        <f>IF(MAX($S$12:$S$29)=MIN($S$12:$S$29),50,(S17-MIN($S$12:$S$29))/(MAX($S$12:$S$29)-MIN($S$12:$S$29))*100)</f>
        <v>62.344709410252754</v>
      </c>
      <c r="U17">
        <f>RANK(T17,$T$12:$T$29,0)</f>
        <v>10</v>
      </c>
    </row>
    <row r="18" spans="1:21">
      <c r="A18" s="14" t="str">
        <f>INDEX(Kulupler[Kulüp],7)</f>
        <v>Galatasaray</v>
      </c>
      <c r="B18" s="14">
        <f>IF(ISNUMBER(INDEX(Kulupler[2025-26 Sırası],7)),INDEX(Kulupler[2025-26 Sırası],7),17)</f>
        <v>1</v>
      </c>
      <c r="C18" s="14">
        <f>COUNTIF(IlkDevreFiksturu[Ev Sahibi],A18)</f>
        <v>9</v>
      </c>
      <c r="D18" s="14">
        <f>COUNTIF(IlkDevreFiksturu[Deplasman],A18)</f>
        <v>8</v>
      </c>
      <c r="E18" s="14">
        <f>C18-D18</f>
        <v>1</v>
      </c>
      <c r="F18" s="23" cm="1">
        <f t="array" ref="F18">SUMPRODUCT((IlkDevreFiksturu[Deplasman]=A18)*(IFERROR(_xlfn.XLOOKUP(IlkDevreFiksturu[Ev Sahibi],$A$12:$A$29,$B$12:$B$29,17),17)))</f>
        <v>79</v>
      </c>
      <c r="G18" s="15">
        <f>F18-AVERAGE($F$12:$F$29)</f>
        <v>-2.2222222222222285</v>
      </c>
      <c r="H18" s="23" cm="1">
        <f t="array" ref="H18">SUMPRODUCT((IlkDevreFiksturu[Hafta]&lt;=5)*(IlkDevreFiksturu[Ev Sahibi]=A18)*(IFERROR(_xlfn.XLOOKUP(IlkDevreFiksturu[Deplasman],$A$12:$A$29,$B$12:$B$29,17),17)))+SUMPRODUCT((IlkDevreFiksturu[Hafta]&lt;=5)*(IlkDevreFiksturu[Deplasman]=A18)*(IFERROR(_xlfn.XLOOKUP(IlkDevreFiksturu[Ev Sahibi],$A$12:$A$29,$B$12:$B$29,17),17)))</f>
        <v>55</v>
      </c>
      <c r="I18" s="14" cm="1">
        <f t="array" ref="I18">_xlfn.SWITCH(INDEX(Kulupler[2026-27 Avrupa Kupası],MATCH(A18,Kulupler[Kulüp],0)),"Şampiyonlar Ligi",$E$5,"Avrupa Ligi",$E$6,"Konferans Ligi",$E$7,"Yok",$E$8,0)</f>
        <v>3</v>
      </c>
      <c r="J18" s="15">
        <f>((G18-MIN($G$12:$G$29))/(MAX($G$12:$G$29)-MIN($G$12:$G$29))*100)*$B$5+((E18-MIN($E$12:$E$29))/(MAX($E$12:$E$29)-MIN($E$12:$E$29))*100)*$B$6+(100-IF(MAX($I$12:$I$29)=MIN($I$12:$I$29),50,(I18-MIN($I$12:$I$29))/(MAX($I$12:$I$29)-MIN($I$12:$I$29))*100))*$B$7+((H18-MIN($H$12:$H$29))/(MAX($H$12:$H$29)-MIN($H$12:$H$29))*100)*$B$8</f>
        <v>54.158186864014802</v>
      </c>
      <c r="K18" s="18">
        <f>IF(MAX($J$12:$J$29)=MIN($J$12:$J$29),50,(J18-MIN($J$12:$J$29))/(MAX($J$12:$J$29)-MIN($J$12:$J$29))*100)</f>
        <v>39.867795909935971</v>
      </c>
      <c r="L18" s="21">
        <f>RANK(K18,$K$12:$K$29,0)</f>
        <v>13</v>
      </c>
      <c r="S18" s="12">
        <f>((G18-MIN($G$12:$G$29))/(MAX($G$12:$G$29)-MIN($G$12:$G$29))*100)*($B$5+$B$7)+((E18-MIN($E$12:$E$29))/(MAX($E$12:$E$29)-MIN($E$12:$E$29))*100)*$B$6+((H18-MIN($H$12:$H$29))/(MAX($H$12:$H$29)-MIN($H$12:$H$29))*100)*$B$8</f>
        <v>65.647548566142461</v>
      </c>
      <c r="T18" s="12">
        <f>IF(MAX($S$12:$S$29)=MIN($S$12:$S$29),50,(S18-MIN($S$12:$S$29))/(MAX($S$12:$S$29)-MIN($S$12:$S$29))*100)</f>
        <v>76.167356847065548</v>
      </c>
      <c r="U18">
        <f>RANK(T18,$T$12:$T$29,0)</f>
        <v>7</v>
      </c>
    </row>
    <row r="19" spans="1:21">
      <c r="A19" s="16" t="str">
        <f>INDEX(Kulupler[Kulüp],8)</f>
        <v>Gaziantep FK</v>
      </c>
      <c r="B19" s="16">
        <f>IF(ISNUMBER(INDEX(Kulupler[2025-26 Sırası],8)),INDEX(Kulupler[2025-26 Sırası],8),17)</f>
        <v>12</v>
      </c>
      <c r="C19" s="16">
        <f>COUNTIF(IlkDevreFiksturu[Ev Sahibi],A19)</f>
        <v>9</v>
      </c>
      <c r="D19" s="16">
        <f>COUNTIF(IlkDevreFiksturu[Deplasman],A19)</f>
        <v>8</v>
      </c>
      <c r="E19" s="16">
        <f>C19-D19</f>
        <v>1</v>
      </c>
      <c r="F19" s="24" cm="1">
        <f t="array" ref="F19">SUMPRODUCT((IlkDevreFiksturu[Deplasman]=A19)*(IFERROR(_xlfn.XLOOKUP(IlkDevreFiksturu[Ev Sahibi],$A$12:$A$29,$B$12:$B$29,17),17)))</f>
        <v>69</v>
      </c>
      <c r="G19" s="17">
        <f>F19-AVERAGE($F$12:$F$29)</f>
        <v>-12.222222222222229</v>
      </c>
      <c r="H19" s="24" cm="1">
        <f t="array" ref="H19">SUMPRODUCT((IlkDevreFiksturu[Hafta]&lt;=5)*(IlkDevreFiksturu[Ev Sahibi]=A19)*(IFERROR(_xlfn.XLOOKUP(IlkDevreFiksturu[Deplasman],$A$12:$A$29,$B$12:$B$29,17),17)))+SUMPRODUCT((IlkDevreFiksturu[Hafta]&lt;=5)*(IlkDevreFiksturu[Deplasman]=A19)*(IFERROR(_xlfn.XLOOKUP(IlkDevreFiksturu[Ev Sahibi],$A$12:$A$29,$B$12:$B$29,17),17)))</f>
        <v>42</v>
      </c>
      <c r="I19" s="16" cm="1">
        <f t="array" ref="I19">_xlfn.SWITCH(INDEX(Kulupler[2026-27 Avrupa Kupası],MATCH(A19,Kulupler[Kulüp],0)),"Şampiyonlar Ligi",$E$5,"Avrupa Ligi",$E$6,"Konferans Ligi",$E$7,"Yok",$E$8,0)</f>
        <v>0</v>
      </c>
      <c r="J19" s="17">
        <f>((G19-MIN($G$12:$G$29))/(MAX($G$12:$G$29)-MIN($G$12:$G$29))*100)*$B$5+((E19-MIN($E$12:$E$29))/(MAX($E$12:$E$29)-MIN($E$12:$E$29))*100)*$B$6+(100-IF(MAX($I$12:$I$29)=MIN($I$12:$I$29),50,(I19-MIN($I$12:$I$29))/(MAX($I$12:$I$29)-MIN($I$12:$I$29))*100))*$B$7+((H19-MIN($H$12:$H$29))/(MAX($H$12:$H$29)-MIN($H$12:$H$29))*100)*$B$8</f>
        <v>55.041628122109159</v>
      </c>
      <c r="K19" s="18">
        <f>IF(MAX($J$12:$J$29)=MIN($J$12:$J$29),50,(J19-MIN($J$12:$J$29))/(MAX($J$12:$J$29)-MIN($J$12:$J$29))*100)</f>
        <v>41.840528816360269</v>
      </c>
      <c r="L19" s="22">
        <f>RANK(K19,$K$12:$K$29,0)</f>
        <v>12</v>
      </c>
      <c r="S19" s="12">
        <f>((G19-MIN($G$12:$G$29))/(MAX($G$12:$G$29)-MIN($G$12:$G$29))*100)*($B$5+$B$7)+((E19-MIN($E$12:$E$29))/(MAX($E$12:$E$29)-MIN($E$12:$E$29))*100)*$B$6+((H19-MIN($H$12:$H$29))/(MAX($H$12:$H$29)-MIN($H$12:$H$29))*100)*$B$8</f>
        <v>42.275670675300653</v>
      </c>
      <c r="T19" s="12">
        <f>IF(MAX($S$12:$S$29)=MIN($S$12:$S$29),50,(S19-MIN($S$12:$S$29))/(MAX($S$12:$S$29)-MIN($S$12:$S$29))*100)</f>
        <v>40.089961445094971</v>
      </c>
      <c r="U19">
        <f>RANK(T19,$T$12:$T$29,0)</f>
        <v>16</v>
      </c>
    </row>
    <row r="20" spans="1:21">
      <c r="A20" s="14" t="str">
        <f>INDEX(Kulupler[Kulüp],9)</f>
        <v>Gençlerbirliği</v>
      </c>
      <c r="B20" s="14">
        <f>IF(ISNUMBER(INDEX(Kulupler[2025-26 Sırası],9)),INDEX(Kulupler[2025-26 Sırası],9),17)</f>
        <v>14</v>
      </c>
      <c r="C20" s="14">
        <f>COUNTIF(IlkDevreFiksturu[Ev Sahibi],A20)</f>
        <v>9</v>
      </c>
      <c r="D20" s="14">
        <f>COUNTIF(IlkDevreFiksturu[Deplasman],A20)</f>
        <v>8</v>
      </c>
      <c r="E20" s="14">
        <f>C20-D20</f>
        <v>1</v>
      </c>
      <c r="F20" s="23" cm="1">
        <f t="array" ref="F20">SUMPRODUCT((IlkDevreFiksturu[Deplasman]=A20)*(IFERROR(_xlfn.XLOOKUP(IlkDevreFiksturu[Ev Sahibi],$A$12:$A$29,$B$12:$B$29,17),17)))</f>
        <v>52</v>
      </c>
      <c r="G20" s="15">
        <f>F20-AVERAGE($F$12:$F$29)</f>
        <v>-29.222222222222229</v>
      </c>
      <c r="H20" s="23" cm="1">
        <f t="array" ref="H20">SUMPRODUCT((IlkDevreFiksturu[Hafta]&lt;=5)*(IlkDevreFiksturu[Ev Sahibi]=A20)*(IFERROR(_xlfn.XLOOKUP(IlkDevreFiksturu[Deplasman],$A$12:$A$29,$B$12:$B$29,17),17)))+SUMPRODUCT((IlkDevreFiksturu[Hafta]&lt;=5)*(IlkDevreFiksturu[Deplasman]=A20)*(IFERROR(_xlfn.XLOOKUP(IlkDevreFiksturu[Ev Sahibi],$A$12:$A$29,$B$12:$B$29,17),17)))</f>
        <v>41</v>
      </c>
      <c r="I20" s="14" cm="1">
        <f t="array" ref="I20">_xlfn.SWITCH(INDEX(Kulupler[2026-27 Avrupa Kupası],MATCH(A20,Kulupler[Kulüp],0)),"Şampiyonlar Ligi",$E$5,"Avrupa Ligi",$E$6,"Konferans Ligi",$E$7,"Yok",$E$8,0)</f>
        <v>0</v>
      </c>
      <c r="J20" s="15">
        <f>((G20-MIN($G$12:$G$29))/(MAX($G$12:$G$29)-MIN($G$12:$G$29))*100)*$B$5+((E20-MIN($E$12:$E$29))/(MAX($E$12:$E$29)-MIN($E$12:$E$29))*100)*$B$6+(100-IF(MAX($I$12:$I$29)=MIN($I$12:$I$29),50,(I20-MIN($I$12:$I$29))/(MAX($I$12:$I$29)-MIN($I$12:$I$29))*100))*$B$7+((H20-MIN($H$12:$H$29))/(MAX($H$12:$H$29)-MIN($H$12:$H$29))*100)*$B$8</f>
        <v>36.304347826086953</v>
      </c>
      <c r="K20" s="18">
        <f>IF(MAX($J$12:$J$29)=MIN($J$12:$J$29),50,(J20-MIN($J$12:$J$29))/(MAX($J$12:$J$29)-MIN($J$12:$J$29))*100)</f>
        <v>0</v>
      </c>
      <c r="L20" s="21">
        <f>RANK(K20,$K$12:$K$29,0)</f>
        <v>18</v>
      </c>
      <c r="S20" s="12">
        <f>((G20-MIN($G$12:$G$29))/(MAX($G$12:$G$29)-MIN($G$12:$G$29))*100)*($B$5+$B$7)+((E20-MIN($E$12:$E$29))/(MAX($E$12:$E$29)-MIN($E$12:$E$29))*100)*$B$6+((H20-MIN($H$12:$H$29))/(MAX($H$12:$H$29)-MIN($H$12:$H$29))*100)*$B$8</f>
        <v>16.304347826086957</v>
      </c>
      <c r="T20" s="12">
        <f>IF(MAX($S$12:$S$29)=MIN($S$12:$S$29),50,(S20-MIN($S$12:$S$29))/(MAX($S$12:$S$29)-MIN($S$12:$S$29))*100)</f>
        <v>0</v>
      </c>
      <c r="U20">
        <f>RANK(T20,$T$12:$T$29,0)</f>
        <v>18</v>
      </c>
    </row>
    <row r="21" spans="1:21">
      <c r="A21" s="16" t="str">
        <f>INDEX(Kulupler[Kulüp],10)</f>
        <v>Göztepe</v>
      </c>
      <c r="B21" s="16">
        <f>IF(ISNUMBER(INDEX(Kulupler[2025-26 Sırası],10)),INDEX(Kulupler[2025-26 Sırası],10),17)</f>
        <v>6</v>
      </c>
      <c r="C21" s="16">
        <f>COUNTIF(IlkDevreFiksturu[Ev Sahibi],A21)</f>
        <v>8</v>
      </c>
      <c r="D21" s="16">
        <f>COUNTIF(IlkDevreFiksturu[Deplasman],A21)</f>
        <v>9</v>
      </c>
      <c r="E21" s="16">
        <f>C21-D21</f>
        <v>-1</v>
      </c>
      <c r="F21" s="24" cm="1">
        <f t="array" ref="F21">SUMPRODUCT((IlkDevreFiksturu[Deplasman]=A21)*(IFERROR(_xlfn.XLOOKUP(IlkDevreFiksturu[Ev Sahibi],$A$12:$A$29,$B$12:$B$29,17),17)))</f>
        <v>93</v>
      </c>
      <c r="G21" s="17">
        <f>F21-AVERAGE($F$12:$F$29)</f>
        <v>11.777777777777771</v>
      </c>
      <c r="H21" s="24" cm="1">
        <f t="array" ref="H21">SUMPRODUCT((IlkDevreFiksturu[Hafta]&lt;=5)*(IlkDevreFiksturu[Ev Sahibi]=A21)*(IFERROR(_xlfn.XLOOKUP(IlkDevreFiksturu[Deplasman],$A$12:$A$29,$B$12:$B$29,17),17)))+SUMPRODUCT((IlkDevreFiksturu[Hafta]&lt;=5)*(IlkDevreFiksturu[Deplasman]=A21)*(IFERROR(_xlfn.XLOOKUP(IlkDevreFiksturu[Ev Sahibi],$A$12:$A$29,$B$12:$B$29,17),17)))</f>
        <v>45</v>
      </c>
      <c r="I21" s="16" cm="1">
        <f t="array" ref="I21">_xlfn.SWITCH(INDEX(Kulupler[2026-27 Avrupa Kupası],MATCH(A21,Kulupler[Kulüp],0)),"Şampiyonlar Ligi",$E$5,"Avrupa Ligi",$E$6,"Konferans Ligi",$E$7,"Yok",$E$8,0)</f>
        <v>0</v>
      </c>
      <c r="J21" s="17">
        <f>((G21-MIN($G$12:$G$29))/(MAX($G$12:$G$29)-MIN($G$12:$G$29))*100)*$B$5+((E21-MIN($E$12:$E$29))/(MAX($E$12:$E$29)-MIN($E$12:$E$29))*100)*$B$6+(100-IF(MAX($I$12:$I$29)=MIN($I$12:$I$29),50,(I21-MIN($I$12:$I$29))/(MAX($I$12:$I$29)-MIN($I$12:$I$29))*100))*$B$7+((H21-MIN($H$12:$H$29))/(MAX($H$12:$H$29)-MIN($H$12:$H$29))*100)*$B$8</f>
        <v>67.530064754856625</v>
      </c>
      <c r="K21" s="18">
        <f>IF(MAX($J$12:$J$29)=MIN($J$12:$J$29),50,(J21-MIN($J$12:$J$29))/(MAX($J$12:$J$29)-MIN($J$12:$J$29))*100)</f>
        <v>69.727329064242966</v>
      </c>
      <c r="L21" s="22">
        <f>RANK(K21,$K$12:$K$29,0)</f>
        <v>6</v>
      </c>
      <c r="S21" s="12">
        <f>((G21-MIN($G$12:$G$29))/(MAX($G$12:$G$29)-MIN($G$12:$G$29))*100)*($B$5+$B$7)+((E21-MIN($E$12:$E$29))/(MAX($E$12:$E$29)-MIN($E$12:$E$29))*100)*$B$6+((H21-MIN($H$12:$H$29))/(MAX($H$12:$H$29)-MIN($H$12:$H$29))*100)*$B$8</f>
        <v>64.976873265494916</v>
      </c>
      <c r="T21" s="12">
        <f>IF(MAX($S$12:$S$29)=MIN($S$12:$S$29),50,(S21-MIN($S$12:$S$29))/(MAX($S$12:$S$29)-MIN($S$12:$S$29))*100)</f>
        <v>75.132086248750554</v>
      </c>
      <c r="U21">
        <f>RANK(T21,$T$12:$T$29,0)</f>
        <v>8</v>
      </c>
    </row>
    <row r="22" spans="1:21">
      <c r="A22" s="14" t="str">
        <f>INDEX(Kulupler[Kulüp],11)</f>
        <v>Kasımpaşa</v>
      </c>
      <c r="B22" s="14">
        <f>IF(ISNUMBER(INDEX(Kulupler[2025-26 Sırası],11)),INDEX(Kulupler[2025-26 Sırası],11),17)</f>
        <v>13</v>
      </c>
      <c r="C22" s="14">
        <f>COUNTIF(IlkDevreFiksturu[Ev Sahibi],A22)</f>
        <v>8</v>
      </c>
      <c r="D22" s="14">
        <f>COUNTIF(IlkDevreFiksturu[Deplasman],A22)</f>
        <v>9</v>
      </c>
      <c r="E22" s="14">
        <f>C22-D22</f>
        <v>-1</v>
      </c>
      <c r="F22" s="23" cm="1">
        <f t="array" ref="F22">SUMPRODUCT((IlkDevreFiksturu[Deplasman]=A22)*(IFERROR(_xlfn.XLOOKUP(IlkDevreFiksturu[Ev Sahibi],$A$12:$A$29,$B$12:$B$29,17),17)))</f>
        <v>99</v>
      </c>
      <c r="G22" s="15">
        <f>F22-AVERAGE($F$12:$F$29)</f>
        <v>17.777777777777771</v>
      </c>
      <c r="H22" s="23" cm="1">
        <f t="array" ref="H22">SUMPRODUCT((IlkDevreFiksturu[Hafta]&lt;=5)*(IlkDevreFiksturu[Ev Sahibi]=A22)*(IFERROR(_xlfn.XLOOKUP(IlkDevreFiksturu[Deplasman],$A$12:$A$29,$B$12:$B$29,17),17)))+SUMPRODUCT((IlkDevreFiksturu[Hafta]&lt;=5)*(IlkDevreFiksturu[Deplasman]=A22)*(IFERROR(_xlfn.XLOOKUP(IlkDevreFiksturu[Ev Sahibi],$A$12:$A$29,$B$12:$B$29,17),17)))</f>
        <v>56</v>
      </c>
      <c r="I22" s="14" cm="1">
        <f t="array" ref="I22">_xlfn.SWITCH(INDEX(Kulupler[2026-27 Avrupa Kupası],MATCH(A22,Kulupler[Kulüp],0)),"Şampiyonlar Ligi",$E$5,"Avrupa Ligi",$E$6,"Konferans Ligi",$E$7,"Yok",$E$8,0)</f>
        <v>0</v>
      </c>
      <c r="J22" s="15">
        <f>((G22-MIN($G$12:$G$29))/(MAX($G$12:$G$29)-MIN($G$12:$G$29))*100)*$B$5+((E22-MIN($E$12:$E$29))/(MAX($E$12:$E$29)-MIN($E$12:$E$29))*100)*$B$6+(100-IF(MAX($I$12:$I$29)=MIN($I$12:$I$29),50,(I22-MIN($I$12:$I$29))/(MAX($I$12:$I$29)-MIN($I$12:$I$29))*100))*$B$7+((H22-MIN($H$12:$H$29))/(MAX($H$12:$H$29)-MIN($H$12:$H$29))*100)*$B$8</f>
        <v>81.086956521739125</v>
      </c>
      <c r="K22" s="18">
        <f>IF(MAX($J$12:$J$29)=MIN($J$12:$J$29),50,(J22-MIN($J$12:$J$29))/(MAX($J$12:$J$29)-MIN($J$12:$J$29))*100)</f>
        <v>100</v>
      </c>
      <c r="L22" s="21">
        <f>RANK(K22,$K$12:$K$29,0)</f>
        <v>1</v>
      </c>
      <c r="S22" s="12">
        <f>((G22-MIN($G$12:$G$29))/(MAX($G$12:$G$29)-MIN($G$12:$G$29))*100)*($B$5+$B$7)+((E22-MIN($E$12:$E$29))/(MAX($E$12:$E$29)-MIN($E$12:$E$29))*100)*$B$6+((H22-MIN($H$12:$H$29))/(MAX($H$12:$H$29)-MIN($H$12:$H$29))*100)*$B$8</f>
        <v>81.086956521739125</v>
      </c>
      <c r="T22" s="12">
        <f>IF(MAX($S$12:$S$29)=MIN($S$12:$S$29),50,(S22-MIN($S$12:$S$29))/(MAX($S$12:$S$29)-MIN($S$12:$S$29))*100)</f>
        <v>100</v>
      </c>
      <c r="U22">
        <f>RANK(T22,$T$12:$T$29,0)</f>
        <v>1</v>
      </c>
    </row>
    <row r="23" spans="1:21">
      <c r="A23" s="16" t="str">
        <f>INDEX(Kulupler[Kulüp],12)</f>
        <v>Kocaelispor</v>
      </c>
      <c r="B23" s="16">
        <f>IF(ISNUMBER(INDEX(Kulupler[2025-26 Sırası],12)),INDEX(Kulupler[2025-26 Sırası],12),17)</f>
        <v>10</v>
      </c>
      <c r="C23" s="16">
        <f>COUNTIF(IlkDevreFiksturu[Ev Sahibi],A23)</f>
        <v>8</v>
      </c>
      <c r="D23" s="16">
        <f>COUNTIF(IlkDevreFiksturu[Deplasman],A23)</f>
        <v>9</v>
      </c>
      <c r="E23" s="16">
        <f>C23-D23</f>
        <v>-1</v>
      </c>
      <c r="F23" s="24" cm="1">
        <f t="array" ref="F23">SUMPRODUCT((IlkDevreFiksturu[Deplasman]=A23)*(IFERROR(_xlfn.XLOOKUP(IlkDevreFiksturu[Ev Sahibi],$A$12:$A$29,$B$12:$B$29,17),17)))</f>
        <v>82</v>
      </c>
      <c r="G23" s="17">
        <f>F23-AVERAGE($F$12:$F$29)</f>
        <v>0.77777777777777146</v>
      </c>
      <c r="H23" s="24" cm="1">
        <f t="array" ref="H23">SUMPRODUCT((IlkDevreFiksturu[Hafta]&lt;=5)*(IlkDevreFiksturu[Ev Sahibi]=A23)*(IFERROR(_xlfn.XLOOKUP(IlkDevreFiksturu[Deplasman],$A$12:$A$29,$B$12:$B$29,17),17)))+SUMPRODUCT((IlkDevreFiksturu[Hafta]&lt;=5)*(IlkDevreFiksturu[Deplasman]=A23)*(IFERROR(_xlfn.XLOOKUP(IlkDevreFiksturu[Ev Sahibi],$A$12:$A$29,$B$12:$B$29,17),17)))</f>
        <v>39</v>
      </c>
      <c r="I23" s="16" cm="1">
        <f t="array" ref="I23">_xlfn.SWITCH(INDEX(Kulupler[2026-27 Avrupa Kupası],MATCH(A23,Kulupler[Kulüp],0)),"Şampiyonlar Ligi",$E$5,"Avrupa Ligi",$E$6,"Konferans Ligi",$E$7,"Yok",$E$8,0)</f>
        <v>0</v>
      </c>
      <c r="J23" s="17">
        <f>((G23-MIN($G$12:$G$29))/(MAX($G$12:$G$29)-MIN($G$12:$G$29))*100)*$B$5+((E23-MIN($E$12:$E$29))/(MAX($E$12:$E$29)-MIN($E$12:$E$29))*100)*$B$6+(100-IF(MAX($I$12:$I$29)=MIN($I$12:$I$29),50,(I23-MIN($I$12:$I$29))/(MAX($I$12:$I$29)-MIN($I$12:$I$29))*100))*$B$7+((H23-MIN($H$12:$H$29))/(MAX($H$12:$H$29)-MIN($H$12:$H$29))*100)*$B$8</f>
        <v>51.914893617021278</v>
      </c>
      <c r="K23" s="18">
        <f>IF(MAX($J$12:$J$29)=MIN($J$12:$J$29),50,(J23-MIN($J$12:$J$29))/(MAX($J$12:$J$29)-MIN($J$12:$J$29))*100)</f>
        <v>34.858500309853348</v>
      </c>
      <c r="L23" s="22">
        <f>RANK(K23,$K$12:$K$29,0)</f>
        <v>15</v>
      </c>
      <c r="S23" s="12">
        <f>((G23-MIN($G$12:$G$29))/(MAX($G$12:$G$29)-MIN($G$12:$G$29))*100)*($B$5+$B$7)+((E23-MIN($E$12:$E$29))/(MAX($E$12:$E$29)-MIN($E$12:$E$29))*100)*$B$6+((H23-MIN($H$12:$H$29))/(MAX($H$12:$H$29)-MIN($H$12:$H$29))*100)*$B$8</f>
        <v>44.680851063829785</v>
      </c>
      <c r="T23" s="12">
        <f>IF(MAX($S$12:$S$29)=MIN($S$12:$S$29),50,(S23-MIN($S$12:$S$29))/(MAX($S$12:$S$29)-MIN($S$12:$S$29))*100)</f>
        <v>43.802656004569471</v>
      </c>
      <c r="U23">
        <f>RANK(T23,$T$12:$T$29,0)</f>
        <v>15</v>
      </c>
    </row>
    <row r="24" spans="1:21">
      <c r="A24" s="14" t="str">
        <f>INDEX(Kulupler[Kulüp],13)</f>
        <v>Konyaspor</v>
      </c>
      <c r="B24" s="14">
        <f>IF(ISNUMBER(INDEX(Kulupler[2025-26 Sırası],13)),INDEX(Kulupler[2025-26 Sırası],13),17)</f>
        <v>9</v>
      </c>
      <c r="C24" s="14">
        <f>COUNTIF(IlkDevreFiksturu[Ev Sahibi],A24)</f>
        <v>9</v>
      </c>
      <c r="D24" s="14">
        <f>COUNTIF(IlkDevreFiksturu[Deplasman],A24)</f>
        <v>8</v>
      </c>
      <c r="E24" s="14">
        <f>C24-D24</f>
        <v>1</v>
      </c>
      <c r="F24" s="23" cm="1">
        <f t="array" ref="F24">SUMPRODUCT((IlkDevreFiksturu[Deplasman]=A24)*(IFERROR(_xlfn.XLOOKUP(IlkDevreFiksturu[Ev Sahibi],$A$12:$A$29,$B$12:$B$29,17),17)))</f>
        <v>90</v>
      </c>
      <c r="G24" s="15">
        <f>F24-AVERAGE($F$12:$F$29)</f>
        <v>8.7777777777777715</v>
      </c>
      <c r="H24" s="23" cm="1">
        <f t="array" ref="H24">SUMPRODUCT((IlkDevreFiksturu[Hafta]&lt;=5)*(IlkDevreFiksturu[Ev Sahibi]=A24)*(IFERROR(_xlfn.XLOOKUP(IlkDevreFiksturu[Deplasman],$A$12:$A$29,$B$12:$B$29,17),17)))+SUMPRODUCT((IlkDevreFiksturu[Hafta]&lt;=5)*(IlkDevreFiksturu[Deplasman]=A24)*(IFERROR(_xlfn.XLOOKUP(IlkDevreFiksturu[Ev Sahibi],$A$12:$A$29,$B$12:$B$29,17),17)))</f>
        <v>40</v>
      </c>
      <c r="I24" s="14" cm="1">
        <f t="array" ref="I24">_xlfn.SWITCH(INDEX(Kulupler[2026-27 Avrupa Kupası],MATCH(A24,Kulupler[Kulüp],0)),"Şampiyonlar Ligi",$E$5,"Avrupa Ligi",$E$6,"Konferans Ligi",$E$7,"Yok",$E$8,0)</f>
        <v>0</v>
      </c>
      <c r="J24" s="15">
        <f>((G24-MIN($G$12:$G$29))/(MAX($G$12:$G$29)-MIN($G$12:$G$29))*100)*$B$5+((E24-MIN($E$12:$E$29))/(MAX($E$12:$E$29)-MIN($E$12:$E$29))*100)*$B$6+(100-IF(MAX($I$12:$I$29)=MIN($I$12:$I$29),50,(I24-MIN($I$12:$I$29))/(MAX($I$12:$I$29)-MIN($I$12:$I$29))*100))*$B$7+((H24-MIN($H$12:$H$29))/(MAX($H$12:$H$29)-MIN($H$12:$H$29))*100)*$B$8</f>
        <v>76.077705827937095</v>
      </c>
      <c r="K24" s="18">
        <f>IF(MAX($J$12:$J$29)=MIN($J$12:$J$29),50,(J24-MIN($J$12:$J$29))/(MAX($J$12:$J$29)-MIN($J$12:$J$29))*100)</f>
        <v>88.814294567238179</v>
      </c>
      <c r="L24" s="21">
        <f>RANK(K24,$K$12:$K$29,0)</f>
        <v>3</v>
      </c>
      <c r="S24" s="12">
        <f>((G24-MIN($G$12:$G$29))/(MAX($G$12:$G$29)-MIN($G$12:$G$29))*100)*($B$5+$B$7)+((E24-MIN($E$12:$E$29))/(MAX($E$12:$E$29)-MIN($E$12:$E$29))*100)*$B$6+((H24-MIN($H$12:$H$29))/(MAX($H$12:$H$29)-MIN($H$12:$H$29))*100)*$B$8</f>
        <v>72.247918593894539</v>
      </c>
      <c r="T24" s="12">
        <f>IF(MAX($S$12:$S$29)=MIN($S$12:$S$29),50,(S24-MIN($S$12:$S$29))/(MAX($S$12:$S$29)-MIN($S$12:$S$29))*100)</f>
        <v>86.355847493931165</v>
      </c>
      <c r="U24">
        <f>RANK(T24,$T$12:$T$29,0)</f>
        <v>3</v>
      </c>
    </row>
    <row r="25" spans="1:21">
      <c r="A25" s="16" t="str">
        <f>INDEX(Kulupler[Kulüp],14)</f>
        <v>Samsunspor</v>
      </c>
      <c r="B25" s="16">
        <f>IF(ISNUMBER(INDEX(Kulupler[2025-26 Sırası],14)),INDEX(Kulupler[2025-26 Sırası],14),17)</f>
        <v>7</v>
      </c>
      <c r="C25" s="16">
        <f>COUNTIF(IlkDevreFiksturu[Ev Sahibi],A25)</f>
        <v>8</v>
      </c>
      <c r="D25" s="16">
        <f>COUNTIF(IlkDevreFiksturu[Deplasman],A25)</f>
        <v>9</v>
      </c>
      <c r="E25" s="16">
        <f>C25-D25</f>
        <v>-1</v>
      </c>
      <c r="F25" s="24" cm="1">
        <f t="array" ref="F25">SUMPRODUCT((IlkDevreFiksturu[Deplasman]=A25)*(IFERROR(_xlfn.XLOOKUP(IlkDevreFiksturu[Ev Sahibi],$A$12:$A$29,$B$12:$B$29,17),17)))</f>
        <v>84</v>
      </c>
      <c r="G25" s="17">
        <f>F25-AVERAGE($F$12:$F$29)</f>
        <v>2.7777777777777715</v>
      </c>
      <c r="H25" s="24" cm="1">
        <f t="array" ref="H25">SUMPRODUCT((IlkDevreFiksturu[Hafta]&lt;=5)*(IlkDevreFiksturu[Ev Sahibi]=A25)*(IFERROR(_xlfn.XLOOKUP(IlkDevreFiksturu[Deplasman],$A$12:$A$29,$B$12:$B$29,17),17)))+SUMPRODUCT((IlkDevreFiksturu[Hafta]&lt;=5)*(IlkDevreFiksturu[Deplasman]=A25)*(IFERROR(_xlfn.XLOOKUP(IlkDevreFiksturu[Ev Sahibi],$A$12:$A$29,$B$12:$B$29,17),17)))</f>
        <v>43</v>
      </c>
      <c r="I25" s="16" cm="1">
        <f t="array" ref="I25">_xlfn.SWITCH(INDEX(Kulupler[2026-27 Avrupa Kupası],MATCH(A25,Kulupler[Kulüp],0)),"Şampiyonlar Ligi",$E$5,"Avrupa Ligi",$E$6,"Konferans Ligi",$E$7,"Yok",$E$8,0)</f>
        <v>0</v>
      </c>
      <c r="J25" s="17">
        <f>((G25-MIN($G$12:$G$29))/(MAX($G$12:$G$29)-MIN($G$12:$G$29))*100)*$B$5+((E25-MIN($E$12:$E$29))/(MAX($E$12:$E$29)-MIN($E$12:$E$29))*100)*$B$6+(100-IF(MAX($I$12:$I$29)=MIN($I$12:$I$29),50,(I25-MIN($I$12:$I$29))/(MAX($I$12:$I$29)-MIN($I$12:$I$29))*100))*$B$7+((H25-MIN($H$12:$H$29))/(MAX($H$12:$H$29)-MIN($H$12:$H$29))*100)*$B$8</f>
        <v>56.651248843663275</v>
      </c>
      <c r="K25" s="18">
        <f>IF(MAX($J$12:$J$29)=MIN($J$12:$J$29),50,(J25-MIN($J$12:$J$29))/(MAX($J$12:$J$29)-MIN($J$12:$J$29))*100)</f>
        <v>45.434827514976256</v>
      </c>
      <c r="L25" s="22">
        <f>RANK(K25,$K$12:$K$29,0)</f>
        <v>11</v>
      </c>
      <c r="S25" s="12">
        <f>((G25-MIN($G$12:$G$29))/(MAX($G$12:$G$29)-MIN($G$12:$G$29))*100)*($B$5+$B$7)+((E25-MIN($E$12:$E$29))/(MAX($E$12:$E$29)-MIN($E$12:$E$29))*100)*$B$6+((H25-MIN($H$12:$H$29))/(MAX($H$12:$H$29)-MIN($H$12:$H$29))*100)*$B$8</f>
        <v>50.268270120259018</v>
      </c>
      <c r="T25" s="12">
        <f>IF(MAX($S$12:$S$29)=MIN($S$12:$S$29),50,(S25-MIN($S$12:$S$29))/(MAX($S$12:$S$29)-MIN($S$12:$S$29))*100)</f>
        <v>52.42753105811795</v>
      </c>
      <c r="U25">
        <f>RANK(T25,$T$12:$T$29,0)</f>
        <v>12</v>
      </c>
    </row>
    <row r="26" spans="1:21">
      <c r="A26" s="14" t="str">
        <f>INDEX(Kulupler[Kulüp],15)</f>
        <v>Trabzonspor</v>
      </c>
      <c r="B26" s="14">
        <f>IF(ISNUMBER(INDEX(Kulupler[2025-26 Sırası],15)),INDEX(Kulupler[2025-26 Sırası],15),17)</f>
        <v>3</v>
      </c>
      <c r="C26" s="14">
        <f>COUNTIF(IlkDevreFiksturu[Ev Sahibi],A26)</f>
        <v>8</v>
      </c>
      <c r="D26" s="14">
        <f>COUNTIF(IlkDevreFiksturu[Deplasman],A26)</f>
        <v>9</v>
      </c>
      <c r="E26" s="14">
        <f>C26-D26</f>
        <v>-1</v>
      </c>
      <c r="F26" s="23" cm="1">
        <f t="array" ref="F26">SUMPRODUCT((IlkDevreFiksturu[Deplasman]=A26)*(IFERROR(_xlfn.XLOOKUP(IlkDevreFiksturu[Ev Sahibi],$A$12:$A$29,$B$12:$B$29,17),17)))</f>
        <v>90</v>
      </c>
      <c r="G26" s="15">
        <f>F26-AVERAGE($F$12:$F$29)</f>
        <v>8.7777777777777715</v>
      </c>
      <c r="H26" s="23" cm="1">
        <f t="array" ref="H26">SUMPRODUCT((IlkDevreFiksturu[Hafta]&lt;=5)*(IlkDevreFiksturu[Ev Sahibi]=A26)*(IFERROR(_xlfn.XLOOKUP(IlkDevreFiksturu[Deplasman],$A$12:$A$29,$B$12:$B$29,17),17)))+SUMPRODUCT((IlkDevreFiksturu[Hafta]&lt;=5)*(IlkDevreFiksturu[Deplasman]=A26)*(IFERROR(_xlfn.XLOOKUP(IlkDevreFiksturu[Ev Sahibi],$A$12:$A$29,$B$12:$B$29,17),17)))</f>
        <v>58</v>
      </c>
      <c r="I26" s="14" cm="1">
        <f t="array" ref="I26">_xlfn.SWITCH(INDEX(Kulupler[2026-27 Avrupa Kupası],MATCH(A26,Kulupler[Kulüp],0)),"Şampiyonlar Ligi",$E$5,"Avrupa Ligi",$E$6,"Konferans Ligi",$E$7,"Yok",$E$8,0)</f>
        <v>2</v>
      </c>
      <c r="J26" s="15">
        <f>((G26-MIN($G$12:$G$29))/(MAX($G$12:$G$29)-MIN($G$12:$G$29))*100)*$B$5+((E26-MIN($E$12:$E$29))/(MAX($E$12:$E$29)-MIN($E$12:$E$29))*100)*$B$6+(100-IF(MAX($I$12:$I$29)=MIN($I$12:$I$29),50,(I26-MIN($I$12:$I$29))/(MAX($I$12:$I$29)-MIN($I$12:$I$29))*100))*$B$7+((H26-MIN($H$12:$H$29))/(MAX($H$12:$H$29)-MIN($H$12:$H$29))*100)*$B$8</f>
        <v>59.483502929386368</v>
      </c>
      <c r="K26" s="18">
        <f>IF(MAX($J$12:$J$29)=MIN($J$12:$J$29),50,(J26-MIN($J$12:$J$29))/(MAX($J$12:$J$29)-MIN($J$12:$J$29))*100)</f>
        <v>51.759278386008404</v>
      </c>
      <c r="L26" s="21">
        <f>RANK(K26,$K$12:$K$29,0)</f>
        <v>9</v>
      </c>
      <c r="S26" s="12">
        <f>((G26-MIN($G$12:$G$29))/(MAX($G$12:$G$29)-MIN($G$12:$G$29))*100)*($B$5+$B$7)+((E26-MIN($E$12:$E$29))/(MAX($E$12:$E$29)-MIN($E$12:$E$29))*100)*$B$6+((H26-MIN($H$12:$H$29))/(MAX($H$12:$H$29)-MIN($H$12:$H$29))*100)*$B$8</f>
        <v>68.987049028677134</v>
      </c>
      <c r="T26" s="12">
        <f>IF(MAX($S$12:$S$29)=MIN($S$12:$S$29),50,(S26-MIN($S$12:$S$29))/(MAX($S$12:$S$29)-MIN($S$12:$S$29))*100)</f>
        <v>81.322290446951286</v>
      </c>
      <c r="U26">
        <f>RANK(T26,$T$12:$T$29,0)</f>
        <v>5</v>
      </c>
    </row>
    <row r="27" spans="1:21">
      <c r="A27" s="16" t="str">
        <f>INDEX(Kulupler[Kulüp],16)</f>
        <v>Çaykur Rizespor</v>
      </c>
      <c r="B27" s="16">
        <f>IF(ISNUMBER(INDEX(Kulupler[2025-26 Sırası],16)),INDEX(Kulupler[2025-26 Sırası],16),17)</f>
        <v>8</v>
      </c>
      <c r="C27" s="16">
        <f>COUNTIF(IlkDevreFiksturu[Ev Sahibi],A27)</f>
        <v>8</v>
      </c>
      <c r="D27" s="16">
        <f>COUNTIF(IlkDevreFiksturu[Deplasman],A27)</f>
        <v>9</v>
      </c>
      <c r="E27" s="16">
        <f>C27-D27</f>
        <v>-1</v>
      </c>
      <c r="F27" s="24" cm="1">
        <f t="array" ref="F27">SUMPRODUCT((IlkDevreFiksturu[Deplasman]=A27)*(IFERROR(_xlfn.XLOOKUP(IlkDevreFiksturu[Ev Sahibi],$A$12:$A$29,$B$12:$B$29,17),17)))</f>
        <v>91</v>
      </c>
      <c r="G27" s="17">
        <f>F27-AVERAGE($F$12:$F$29)</f>
        <v>9.7777777777777715</v>
      </c>
      <c r="H27" s="24" cm="1">
        <f t="array" ref="H27">SUMPRODUCT((IlkDevreFiksturu[Hafta]&lt;=5)*(IlkDevreFiksturu[Ev Sahibi]=A27)*(IFERROR(_xlfn.XLOOKUP(IlkDevreFiksturu[Deplasman],$A$12:$A$29,$B$12:$B$29,17),17)))+SUMPRODUCT((IlkDevreFiksturu[Hafta]&lt;=5)*(IlkDevreFiksturu[Deplasman]=A27)*(IFERROR(_xlfn.XLOOKUP(IlkDevreFiksturu[Ev Sahibi],$A$12:$A$29,$B$12:$B$29,17),17)))</f>
        <v>54</v>
      </c>
      <c r="I27" s="16" cm="1">
        <f t="array" ref="I27">_xlfn.SWITCH(INDEX(Kulupler[2026-27 Avrupa Kupası],MATCH(A27,Kulupler[Kulüp],0)),"Şampiyonlar Ligi",$E$5,"Avrupa Ligi",$E$6,"Konferans Ligi",$E$7,"Yok",$E$8,0)</f>
        <v>0</v>
      </c>
      <c r="J27" s="17">
        <f>((G27-MIN($G$12:$G$29))/(MAX($G$12:$G$29)-MIN($G$12:$G$29))*100)*$B$5+((E27-MIN($E$12:$E$29))/(MAX($E$12:$E$29)-MIN($E$12:$E$29))*100)*$B$6+(100-IF(MAX($I$12:$I$29)=MIN($I$12:$I$29),50,(I27-MIN($I$12:$I$29))/(MAX($I$12:$I$29)-MIN($I$12:$I$29))*100))*$B$7+((H27-MIN($H$12:$H$29))/(MAX($H$12:$H$29)-MIN($H$12:$H$29))*100)*$B$8</f>
        <v>71.271970397779839</v>
      </c>
      <c r="K27" s="18">
        <f>IF(MAX($J$12:$J$29)=MIN($J$12:$J$29),50,(J27-MIN($J$12:$J$29))/(MAX($J$12:$J$29)-MIN($J$12:$J$29))*100)</f>
        <v>78.083040694071499</v>
      </c>
      <c r="L27" s="22">
        <f>RANK(K27,$K$12:$K$29,0)</f>
        <v>5</v>
      </c>
      <c r="S27" s="12">
        <f>((G27-MIN($G$12:$G$29))/(MAX($G$12:$G$29)-MIN($G$12:$G$29))*100)*($B$5+$B$7)+((E27-MIN($E$12:$E$29))/(MAX($E$12:$E$29)-MIN($E$12:$E$29))*100)*$B$6+((H27-MIN($H$12:$H$29))/(MAX($H$12:$H$29)-MIN($H$12:$H$29))*100)*$B$8</f>
        <v>67.867715078630894</v>
      </c>
      <c r="T27" s="12">
        <f>IF(MAX($S$12:$S$29)=MIN($S$12:$S$29),50,(S27-MIN($S$12:$S$29))/(MAX($S$12:$S$29)-MIN($S$12:$S$29))*100)</f>
        <v>79.594459517349719</v>
      </c>
      <c r="U27">
        <f>RANK(T27,$T$12:$T$29,0)</f>
        <v>6</v>
      </c>
    </row>
    <row r="28" spans="1:21">
      <c r="A28" s="14" t="str">
        <f>INDEX(Kulupler[Kulüp],17)</f>
        <v>Çorum FK</v>
      </c>
      <c r="B28" s="14">
        <f>IF(ISNUMBER(INDEX(Kulupler[2025-26 Sırası],17)),INDEX(Kulupler[2025-26 Sırası],17),17)</f>
        <v>17</v>
      </c>
      <c r="C28" s="14">
        <f>COUNTIF(IlkDevreFiksturu[Ev Sahibi],A28)</f>
        <v>8</v>
      </c>
      <c r="D28" s="14">
        <f>COUNTIF(IlkDevreFiksturu[Deplasman],A28)</f>
        <v>9</v>
      </c>
      <c r="E28" s="14">
        <f>C28-D28</f>
        <v>-1</v>
      </c>
      <c r="F28" s="23" cm="1">
        <f t="array" ref="F28">SUMPRODUCT((IlkDevreFiksturu[Deplasman]=A28)*(IFERROR(_xlfn.XLOOKUP(IlkDevreFiksturu[Ev Sahibi],$A$12:$A$29,$B$12:$B$29,17),17)))</f>
        <v>69</v>
      </c>
      <c r="G28" s="15">
        <f>F28-AVERAGE($F$12:$F$29)</f>
        <v>-12.222222222222229</v>
      </c>
      <c r="H28" s="23" cm="1">
        <f t="array" ref="H28">SUMPRODUCT((IlkDevreFiksturu[Hafta]&lt;=5)*(IlkDevreFiksturu[Ev Sahibi]=A28)*(IFERROR(_xlfn.XLOOKUP(IlkDevreFiksturu[Deplasman],$A$12:$A$29,$B$12:$B$29,17),17)))+SUMPRODUCT((IlkDevreFiksturu[Hafta]&lt;=5)*(IlkDevreFiksturu[Deplasman]=A28)*(IFERROR(_xlfn.XLOOKUP(IlkDevreFiksturu[Ev Sahibi],$A$12:$A$29,$B$12:$B$29,17),17)))</f>
        <v>40</v>
      </c>
      <c r="I28" s="14" cm="1">
        <f t="array" ref="I28">_xlfn.SWITCH(INDEX(Kulupler[2026-27 Avrupa Kupası],MATCH(A28,Kulupler[Kulüp],0)),"Şampiyonlar Ligi",$E$5,"Avrupa Ligi",$E$6,"Konferans Ligi",$E$7,"Yok",$E$8,0)</f>
        <v>0</v>
      </c>
      <c r="J28" s="15">
        <f>((G28-MIN($G$12:$G$29))/(MAX($G$12:$G$29)-MIN($G$12:$G$29))*100)*$B$5+((E28-MIN($E$12:$E$29))/(MAX($E$12:$E$29)-MIN($E$12:$E$29))*100)*$B$6+(100-IF(MAX($I$12:$I$29)=MIN($I$12:$I$29),50,(I28-MIN($I$12:$I$29))/(MAX($I$12:$I$29)-MIN($I$12:$I$29))*100))*$B$7+((H28-MIN($H$12:$H$29))/(MAX($H$12:$H$29)-MIN($H$12:$H$29))*100)*$B$8</f>
        <v>38.737280296022199</v>
      </c>
      <c r="K28" s="18">
        <f>IF(MAX($J$12:$J$29)=MIN($J$12:$J$29),50,(J28-MIN($J$12:$J$29))/(MAX($J$12:$J$29)-MIN($J$12:$J$29))*100)</f>
        <v>5.4327618260689947</v>
      </c>
      <c r="L28" s="21">
        <f>RANK(K28,$K$12:$K$29,0)</f>
        <v>17</v>
      </c>
      <c r="S28" s="12">
        <f>((G28-MIN($G$12:$G$29))/(MAX($G$12:$G$29)-MIN($G$12:$G$29))*100)*($B$5+$B$7)+((E28-MIN($E$12:$E$29))/(MAX($E$12:$E$29)-MIN($E$12:$E$29))*100)*$B$6+((H28-MIN($H$12:$H$29))/(MAX($H$12:$H$29)-MIN($H$12:$H$29))*100)*$B$8</f>
        <v>25.971322849213692</v>
      </c>
      <c r="T28" s="12">
        <f>IF(MAX($S$12:$S$29)=MIN($S$12:$S$29),50,(S28-MIN($S$12:$S$29))/(MAX($S$12:$S$29)-MIN($S$12:$S$29))*100)</f>
        <v>14.922176210195632</v>
      </c>
      <c r="U28">
        <f>RANK(T28,$T$12:$T$29,0)</f>
        <v>17</v>
      </c>
    </row>
    <row r="29" spans="1:21">
      <c r="A29" s="16" t="str">
        <f>INDEX(Kulupler[Kulüp],18)</f>
        <v>İstanbul Başakşehir</v>
      </c>
      <c r="B29" s="16">
        <f>IF(ISNUMBER(INDEX(Kulupler[2025-26 Sırası],18)),INDEX(Kulupler[2025-26 Sırası],18),17)</f>
        <v>5</v>
      </c>
      <c r="C29" s="16">
        <f>COUNTIF(IlkDevreFiksturu[Ev Sahibi],A29)</f>
        <v>9</v>
      </c>
      <c r="D29" s="16">
        <f>COUNTIF(IlkDevreFiksturu[Deplasman],A29)</f>
        <v>8</v>
      </c>
      <c r="E29" s="16">
        <f>C29-D29</f>
        <v>1</v>
      </c>
      <c r="F29" s="24" cm="1">
        <f t="array" ref="F29">SUMPRODUCT((IlkDevreFiksturu[Deplasman]=A29)*(IFERROR(_xlfn.XLOOKUP(IlkDevreFiksturu[Ev Sahibi],$A$12:$A$29,$B$12:$B$29,17),17)))</f>
        <v>73</v>
      </c>
      <c r="G29" s="17">
        <f>F29-AVERAGE($F$12:$F$29)</f>
        <v>-8.2222222222222285</v>
      </c>
      <c r="H29" s="24" cm="1">
        <f t="array" ref="H29">SUMPRODUCT((IlkDevreFiksturu[Hafta]&lt;=5)*(IlkDevreFiksturu[Ev Sahibi]=A29)*(IFERROR(_xlfn.XLOOKUP(IlkDevreFiksturu[Deplasman],$A$12:$A$29,$B$12:$B$29,17),17)))+SUMPRODUCT((IlkDevreFiksturu[Hafta]&lt;=5)*(IlkDevreFiksturu[Deplasman]=A29)*(IFERROR(_xlfn.XLOOKUP(IlkDevreFiksturu[Ev Sahibi],$A$12:$A$29,$B$12:$B$29,17),17)))</f>
        <v>44</v>
      </c>
      <c r="I29" s="16" cm="1">
        <f t="array" ref="I29">_xlfn.SWITCH(INDEX(Kulupler[2026-27 Avrupa Kupası],MATCH(A29,Kulupler[Kulüp],0)),"Şampiyonlar Ligi",$E$5,"Avrupa Ligi",$E$6,"Konferans Ligi",$E$7,"Yok",$E$8,0)</f>
        <v>1</v>
      </c>
      <c r="J29" s="17">
        <f>((G29-MIN($G$12:$G$29))/(MAX($G$12:$G$29)-MIN($G$12:$G$29))*100)*$B$5+((E29-MIN($E$12:$E$29))/(MAX($E$12:$E$29)-MIN($E$12:$E$29))*100)*$B$6+(100-IF(MAX($I$12:$I$29)=MIN($I$12:$I$29),50,(I29-MIN($I$12:$I$29))/(MAX($I$12:$I$29)-MIN($I$12:$I$29))*100))*$B$7+((H29-MIN($H$12:$H$29))/(MAX($H$12:$H$29)-MIN($H$12:$H$29))*100)*$B$8</f>
        <v>53.934628430465615</v>
      </c>
      <c r="K29" s="18">
        <f>IF(MAX($J$12:$J$29)=MIN($J$12:$J$29),50,(J29-MIN($J$12:$J$29))/(MAX($J$12:$J$29)-MIN($J$12:$J$29))*100)</f>
        <v>39.368587757350411</v>
      </c>
      <c r="L29" s="22">
        <f>RANK(K29,$K$12:$K$29,0)</f>
        <v>14</v>
      </c>
      <c r="S29" s="12">
        <f>((G29-MIN($G$12:$G$29))/(MAX($G$12:$G$29)-MIN($G$12:$G$29))*100)*($B$5+$B$7)+((E29-MIN($E$12:$E$29))/(MAX($E$12:$E$29)-MIN($E$12:$E$29))*100)*$B$6+((H29-MIN($H$12:$H$29))/(MAX($H$12:$H$29)-MIN($H$12:$H$29))*100)*$B$8</f>
        <v>49.537465309898238</v>
      </c>
      <c r="T29" s="12">
        <f>IF(MAX($S$12:$S$29)=MIN($S$12:$S$29),50,(S29-MIN($S$12:$S$29))/(MAX($S$12:$S$29)-MIN($S$12:$S$29))*100)</f>
        <v>51.299443095816081</v>
      </c>
      <c r="U29">
        <f>RANK(T29,$T$12:$T$29,0)</f>
        <v>14</v>
      </c>
    </row>
    <row r="31" spans="1:21">
      <c r="A31" s="25" t="s">
        <v>83</v>
      </c>
    </row>
    <row r="32" spans="1:21">
      <c r="A32" s="10" t="s">
        <v>72</v>
      </c>
      <c r="B32" t="s">
        <v>84</v>
      </c>
    </row>
    <row r="33" spans="1:2">
      <c r="A33" s="10" t="s">
        <v>73</v>
      </c>
      <c r="B33" t="s">
        <v>85</v>
      </c>
    </row>
    <row r="34" spans="1:2">
      <c r="A34" s="10" t="s">
        <v>74</v>
      </c>
      <c r="B34" t="s">
        <v>86</v>
      </c>
    </row>
    <row r="35" spans="1:2">
      <c r="A35" s="10" t="s">
        <v>64</v>
      </c>
      <c r="B35" t="s">
        <v>87</v>
      </c>
    </row>
    <row r="36" spans="1:2">
      <c r="A36" s="10" t="s">
        <v>76</v>
      </c>
      <c r="B36" t="s">
        <v>88</v>
      </c>
    </row>
  </sheetData>
  <mergeCells count="8">
    <mergeCell ref="N4:Q4"/>
    <mergeCell ref="N5:Q5"/>
    <mergeCell ref="N14:Q14"/>
    <mergeCell ref="N15:Q15"/>
    <mergeCell ref="A1:K1"/>
    <mergeCell ref="A2:K2"/>
    <mergeCell ref="A4:B4"/>
    <mergeCell ref="D4:E4"/>
  </mergeCells>
  <conditionalFormatting sqref="K12:K29">
    <cfRule type="colorScale" priority="1">
      <colorScale>
        <cfvo type="min"/>
        <cfvo type="percentile" val="50"/>
        <cfvo type="max"/>
        <color rgb="FFF8696B"/>
        <color rgb="FFFFEB9C"/>
        <color rgb="FF63BE7B"/>
      </colorScale>
    </cfRule>
  </conditionalFormatting>
  <conditionalFormatting sqref="L12:L29">
    <cfRule type="cellIs" dxfId="2" priority="2" operator="between">
      <formula>1</formula>
      <formula>3</formula>
    </cfRule>
  </conditionalFormatting>
  <conditionalFormatting sqref="L12:L29">
    <cfRule type="cellIs" dxfId="1" priority="3" operator="between">
      <formula>16</formula>
      <formula>18</formula>
    </cfRule>
  </conditionalFormatting>
  <conditionalFormatting sqref="Q8:Q11">
    <cfRule type="cellIs" dxfId="0" priority="4" operator="greaterThan">
      <formula>0</formula>
    </cfRule>
  </conditionalFormatting>
  <conditionalFormatting sqref="Q8:Q11">
    <cfRule type="cellIs" priority="5" operator="between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Kıvanç Akdeniz</cp:lastModifiedBy>
  <cp:revision/>
  <dcterms:created xsi:type="dcterms:W3CDTF">2026-07-26T14:05:14Z</dcterms:created>
  <dcterms:modified xsi:type="dcterms:W3CDTF">2026-07-26T14:30:37Z</dcterms:modified>
  <cp:category/>
  <cp:contentStatus/>
</cp:coreProperties>
</file>