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xr:revisionPtr revIDLastSave="150" documentId="11_A5B025721762CFCD1D09005343EB0600BBF379A7" xr6:coauthVersionLast="47" xr6:coauthVersionMax="47" xr10:uidLastSave="{0F700732-555B-483C-A578-8B716E666450}"/>
  <bookViews>
    <workbookView xWindow="0" yWindow="0" windowWidth="0" windowHeight="0" activeTab="3" xr2:uid="{00000000-000D-0000-FFFF-FFFF00000000}"/>
  </bookViews>
  <sheets>
    <sheet name="Projeler" sheetId="1" r:id="rId1"/>
    <sheet name="Aylık Durum" sheetId="2" r:id="rId2"/>
    <sheet name="İş Notları" sheetId="3" r:id="rId3"/>
    <sheet name="İcra Gündemi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1" i="4" l="1" a="1"/>
  <c r="I41" i="4"/>
  <c r="J41" i="4"/>
  <c r="K41" i="4"/>
  <c r="L41" i="4"/>
  <c r="M41" i="4"/>
  <c r="N41" i="4"/>
  <c r="O41" i="4"/>
  <c r="P41" i="4"/>
  <c r="I42" i="4" a="1"/>
  <c r="I42" i="4"/>
  <c r="J42" i="4"/>
  <c r="K42" i="4"/>
  <c r="L42" i="4"/>
  <c r="M42" i="4"/>
  <c r="N42" i="4"/>
  <c r="O42" i="4"/>
  <c r="P42" i="4"/>
  <c r="I43" i="4" a="1"/>
  <c r="I43" i="4"/>
  <c r="J43" i="4"/>
  <c r="K43" i="4"/>
  <c r="L43" i="4"/>
  <c r="M43" i="4"/>
  <c r="N43" i="4"/>
  <c r="O43" i="4"/>
  <c r="P43" i="4"/>
  <c r="I44" i="4" a="1"/>
  <c r="I44" i="4"/>
  <c r="J44" i="4"/>
  <c r="K44" i="4"/>
  <c r="L44" i="4"/>
  <c r="M44" i="4"/>
  <c r="N44" i="4"/>
  <c r="O44" i="4"/>
  <c r="P44" i="4"/>
  <c r="I45" i="4" a="1"/>
  <c r="I45" i="4"/>
  <c r="J45" i="4"/>
  <c r="K45" i="4"/>
  <c r="L45" i="4"/>
  <c r="M45" i="4"/>
  <c r="N45" i="4"/>
  <c r="O45" i="4"/>
  <c r="P45" i="4"/>
  <c r="B41" i="4"/>
  <c r="B42" i="4"/>
  <c r="B43" i="4"/>
  <c r="B44" i="4"/>
  <c r="B45" i="4"/>
  <c r="B46" i="4"/>
  <c r="B47" i="4"/>
  <c r="B48" i="4"/>
  <c r="B49" i="4"/>
  <c r="B50" i="4"/>
  <c r="P5" i="4"/>
  <c r="Q5" i="4"/>
  <c r="R5" i="4"/>
  <c r="P6" i="4"/>
  <c r="Q6" i="4"/>
  <c r="R6" i="4"/>
  <c r="P7" i="4"/>
  <c r="Q7" i="4"/>
  <c r="R7" i="4"/>
  <c r="P8" i="4"/>
  <c r="Q8" i="4"/>
  <c r="R8" i="4"/>
  <c r="P9" i="4"/>
  <c r="Q9" i="4"/>
  <c r="R9" i="4"/>
  <c r="P10" i="4"/>
  <c r="Q10" i="4"/>
  <c r="R10" i="4"/>
  <c r="P11" i="4"/>
  <c r="Q11" i="4"/>
  <c r="R11" i="4"/>
  <c r="P12" i="4"/>
  <c r="Q12" i="4"/>
  <c r="R12" i="4"/>
  <c r="P13" i="4"/>
  <c r="Q13" i="4"/>
  <c r="R13" i="4"/>
  <c r="P14" i="4"/>
  <c r="Q14" i="4"/>
  <c r="R14" i="4"/>
  <c r="P15" i="4"/>
  <c r="Q15" i="4"/>
  <c r="R15" i="4"/>
  <c r="P16" i="4"/>
  <c r="Q16" i="4"/>
  <c r="R16" i="4"/>
  <c r="P17" i="4"/>
  <c r="Q17" i="4"/>
  <c r="R17" i="4"/>
  <c r="P18" i="4"/>
  <c r="Q18" i="4"/>
  <c r="R18" i="4"/>
  <c r="P19" i="4"/>
  <c r="Q19" i="4"/>
  <c r="R19" i="4"/>
  <c r="P20" i="4"/>
  <c r="Q20" i="4"/>
  <c r="R20" i="4"/>
  <c r="P21" i="4"/>
  <c r="Q21" i="4"/>
  <c r="R21" i="4"/>
  <c r="P22" i="4"/>
  <c r="Q22" i="4"/>
  <c r="R22" i="4"/>
  <c r="P23" i="4"/>
  <c r="Q23" i="4"/>
  <c r="R23" i="4"/>
  <c r="P24" i="4"/>
  <c r="Q24" i="4"/>
  <c r="R24" i="4"/>
  <c r="P25" i="4"/>
  <c r="Q25" i="4"/>
  <c r="R25" i="4"/>
  <c r="P26" i="4"/>
  <c r="Q26" i="4"/>
  <c r="R26" i="4"/>
  <c r="P27" i="4"/>
  <c r="Q27" i="4"/>
  <c r="R27" i="4"/>
  <c r="P28" i="4"/>
  <c r="Q28" i="4"/>
  <c r="R28" i="4"/>
  <c r="P29" i="4"/>
  <c r="Q29" i="4"/>
  <c r="R29" i="4"/>
  <c r="P30" i="4"/>
  <c r="Q30" i="4"/>
  <c r="R30" i="4"/>
  <c r="P31" i="4"/>
  <c r="Q31" i="4"/>
  <c r="R31" i="4"/>
  <c r="P32" i="4"/>
  <c r="Q32" i="4"/>
  <c r="R32" i="4"/>
  <c r="P33" i="4"/>
  <c r="Q33" i="4"/>
  <c r="R33" i="4"/>
  <c r="P34" i="4"/>
  <c r="Q34" i="4"/>
  <c r="R34" i="4"/>
  <c r="P35" i="4"/>
  <c r="Q35" i="4"/>
  <c r="R35" i="4"/>
  <c r="P36" i="4"/>
  <c r="Q36" i="4"/>
  <c r="R36" i="4"/>
  <c r="A5" i="4"/>
  <c r="B5" i="4"/>
  <c r="C5" i="4"/>
  <c r="D5" i="4"/>
  <c r="E5" i="4"/>
  <c r="F5" i="4" a="1"/>
  <c r="F5" i="4"/>
  <c r="G5" i="4" a="1"/>
  <c r="G5" i="4"/>
  <c r="H5" i="4"/>
  <c r="I5" i="4"/>
  <c r="J5" i="4" a="1"/>
  <c r="J5" i="4"/>
  <c r="K5" i="4" a="1"/>
  <c r="K5" i="4"/>
  <c r="L5" i="4" a="1"/>
  <c r="L5" i="4"/>
  <c r="M5" i="4"/>
  <c r="N5" i="4"/>
  <c r="O5" i="4"/>
  <c r="A6" i="4"/>
  <c r="B6" i="4"/>
  <c r="C6" i="4"/>
  <c r="D6" i="4"/>
  <c r="E6" i="4"/>
  <c r="F6" i="4" a="1"/>
  <c r="F6" i="4"/>
  <c r="G6" i="4" a="1"/>
  <c r="G6" i="4"/>
  <c r="H6" i="4"/>
  <c r="I6" i="4"/>
  <c r="J6" i="4" a="1"/>
  <c r="J6" i="4"/>
  <c r="K6" i="4" a="1"/>
  <c r="K6" i="4"/>
  <c r="L6" i="4" a="1"/>
  <c r="L6" i="4"/>
  <c r="M6" i="4"/>
  <c r="N6" i="4"/>
  <c r="O6" i="4"/>
  <c r="A7" i="4"/>
  <c r="B7" i="4"/>
  <c r="C7" i="4"/>
  <c r="D7" i="4"/>
  <c r="E7" i="4"/>
  <c r="F7" i="4" a="1"/>
  <c r="F7" i="4"/>
  <c r="G7" i="4" a="1"/>
  <c r="G7" i="4"/>
  <c r="H7" i="4"/>
  <c r="I7" i="4"/>
  <c r="J7" i="4" a="1"/>
  <c r="J7" i="4"/>
  <c r="K7" i="4" a="1"/>
  <c r="K7" i="4"/>
  <c r="L7" i="4" a="1"/>
  <c r="L7" i="4"/>
  <c r="M7" i="4"/>
  <c r="N7" i="4"/>
  <c r="O7" i="4"/>
  <c r="A8" i="4"/>
  <c r="B8" i="4"/>
  <c r="C8" i="4"/>
  <c r="D8" i="4"/>
  <c r="E8" i="4"/>
  <c r="F8" i="4" a="1"/>
  <c r="F8" i="4"/>
  <c r="G8" i="4" a="1"/>
  <c r="G8" i="4"/>
  <c r="H8" i="4"/>
  <c r="I8" i="4"/>
  <c r="J8" i="4" a="1"/>
  <c r="J8" i="4"/>
  <c r="K8" i="4" a="1"/>
  <c r="K8" i="4"/>
  <c r="L8" i="4" a="1"/>
  <c r="L8" i="4"/>
  <c r="M8" i="4"/>
  <c r="N8" i="4"/>
  <c r="O8" i="4"/>
  <c r="A9" i="4"/>
  <c r="B9" i="4"/>
  <c r="C9" i="4"/>
  <c r="D9" i="4"/>
  <c r="E9" i="4"/>
  <c r="F9" i="4" a="1"/>
  <c r="F9" i="4"/>
  <c r="G9" i="4" a="1"/>
  <c r="G9" i="4"/>
  <c r="H9" i="4"/>
  <c r="I9" i="4"/>
  <c r="J9" i="4" a="1"/>
  <c r="J9" i="4"/>
  <c r="K9" i="4" a="1"/>
  <c r="K9" i="4"/>
  <c r="L9" i="4" a="1"/>
  <c r="L9" i="4"/>
  <c r="M9" i="4"/>
  <c r="N9" i="4"/>
  <c r="O9" i="4"/>
  <c r="A10" i="4"/>
  <c r="B10" i="4"/>
  <c r="C10" i="4"/>
  <c r="D10" i="4"/>
  <c r="E10" i="4"/>
  <c r="F10" i="4" a="1"/>
  <c r="F10" i="4"/>
  <c r="G10" i="4" a="1"/>
  <c r="G10" i="4"/>
  <c r="H10" i="4"/>
  <c r="I10" i="4"/>
  <c r="J10" i="4" a="1"/>
  <c r="J10" i="4"/>
  <c r="K10" i="4" a="1"/>
  <c r="K10" i="4"/>
  <c r="L10" i="4" a="1"/>
  <c r="L10" i="4"/>
  <c r="M10" i="4"/>
  <c r="N10" i="4"/>
  <c r="O10" i="4"/>
  <c r="A11" i="4"/>
  <c r="B11" i="4"/>
  <c r="C11" i="4"/>
  <c r="D11" i="4"/>
  <c r="E11" i="4"/>
  <c r="F11" i="4" a="1"/>
  <c r="F11" i="4"/>
  <c r="G11" i="4" a="1"/>
  <c r="G11" i="4"/>
  <c r="H11" i="4"/>
  <c r="I11" i="4"/>
  <c r="J11" i="4" a="1"/>
  <c r="J11" i="4"/>
  <c r="K11" i="4" a="1"/>
  <c r="K11" i="4"/>
  <c r="L11" i="4" a="1"/>
  <c r="L11" i="4"/>
  <c r="M11" i="4"/>
  <c r="N11" i="4"/>
  <c r="O11" i="4"/>
  <c r="A12" i="4"/>
  <c r="B12" i="4"/>
  <c r="C12" i="4"/>
  <c r="D12" i="4"/>
  <c r="E12" i="4"/>
  <c r="F12" i="4" a="1"/>
  <c r="F12" i="4"/>
  <c r="G12" i="4" a="1"/>
  <c r="G12" i="4"/>
  <c r="H12" i="4"/>
  <c r="I12" i="4"/>
  <c r="J12" i="4" a="1"/>
  <c r="J12" i="4"/>
  <c r="K12" i="4" a="1"/>
  <c r="K12" i="4"/>
  <c r="L12" i="4" a="1"/>
  <c r="L12" i="4"/>
  <c r="M12" i="4"/>
  <c r="N12" i="4"/>
  <c r="O12" i="4"/>
  <c r="A13" i="4"/>
  <c r="B13" i="4"/>
  <c r="C13" i="4"/>
  <c r="D13" i="4"/>
  <c r="E13" i="4"/>
  <c r="F13" i="4" a="1"/>
  <c r="F13" i="4"/>
  <c r="G13" i="4" a="1"/>
  <c r="G13" i="4"/>
  <c r="H13" i="4"/>
  <c r="I13" i="4"/>
  <c r="J13" i="4" a="1"/>
  <c r="J13" i="4"/>
  <c r="K13" i="4" a="1"/>
  <c r="K13" i="4"/>
  <c r="L13" i="4" a="1"/>
  <c r="L13" i="4"/>
  <c r="M13" i="4"/>
  <c r="N13" i="4"/>
  <c r="O13" i="4"/>
  <c r="A14" i="4"/>
  <c r="B14" i="4"/>
  <c r="C14" i="4"/>
  <c r="D14" i="4"/>
  <c r="E14" i="4"/>
  <c r="F14" i="4" a="1"/>
  <c r="F14" i="4"/>
  <c r="G14" i="4" a="1"/>
  <c r="G14" i="4"/>
  <c r="H14" i="4"/>
  <c r="I14" i="4"/>
  <c r="J14" i="4" a="1"/>
  <c r="J14" i="4"/>
  <c r="K14" i="4" a="1"/>
  <c r="K14" i="4"/>
  <c r="L14" i="4" a="1"/>
  <c r="L14" i="4"/>
  <c r="M14" i="4"/>
  <c r="N14" i="4"/>
  <c r="O14" i="4"/>
  <c r="A15" i="4"/>
  <c r="B15" i="4"/>
  <c r="C15" i="4"/>
  <c r="D15" i="4"/>
  <c r="E15" i="4"/>
  <c r="F15" i="4" a="1"/>
  <c r="F15" i="4"/>
  <c r="G15" i="4" a="1"/>
  <c r="G15" i="4"/>
  <c r="H15" i="4"/>
  <c r="I15" i="4"/>
  <c r="J15" i="4" a="1"/>
  <c r="J15" i="4"/>
  <c r="K15" i="4" a="1"/>
  <c r="K15" i="4"/>
  <c r="L15" i="4" a="1"/>
  <c r="L15" i="4"/>
  <c r="M15" i="4"/>
  <c r="N15" i="4"/>
  <c r="O15" i="4"/>
  <c r="A16" i="4"/>
  <c r="B16" i="4"/>
  <c r="C16" i="4"/>
  <c r="D16" i="4"/>
  <c r="E16" i="4"/>
  <c r="F16" i="4" a="1"/>
  <c r="F16" i="4"/>
  <c r="G16" i="4" a="1"/>
  <c r="G16" i="4"/>
  <c r="H16" i="4"/>
  <c r="I16" i="4"/>
  <c r="J16" i="4" a="1"/>
  <c r="J16" i="4"/>
  <c r="K16" i="4" a="1"/>
  <c r="K16" i="4"/>
  <c r="L16" i="4" a="1"/>
  <c r="L16" i="4"/>
  <c r="M16" i="4"/>
  <c r="N16" i="4"/>
  <c r="O16" i="4"/>
  <c r="A17" i="4"/>
  <c r="B17" i="4"/>
  <c r="C17" i="4"/>
  <c r="D17" i="4"/>
  <c r="E17" i="4"/>
  <c r="F17" i="4" a="1"/>
  <c r="F17" i="4"/>
  <c r="G17" i="4" a="1"/>
  <c r="G17" i="4"/>
  <c r="H17" i="4"/>
  <c r="I17" i="4"/>
  <c r="J17" i="4" a="1"/>
  <c r="J17" i="4"/>
  <c r="K17" i="4" a="1"/>
  <c r="K17" i="4"/>
  <c r="L17" i="4" a="1"/>
  <c r="L17" i="4"/>
  <c r="M17" i="4"/>
  <c r="N17" i="4"/>
  <c r="O17" i="4"/>
  <c r="A18" i="4"/>
  <c r="B18" i="4"/>
  <c r="C18" i="4"/>
  <c r="D18" i="4"/>
  <c r="E18" i="4"/>
  <c r="F18" i="4" a="1"/>
  <c r="F18" i="4"/>
  <c r="G18" i="4" a="1"/>
  <c r="G18" i="4"/>
  <c r="H18" i="4"/>
  <c r="I18" i="4"/>
  <c r="J18" i="4" a="1"/>
  <c r="J18" i="4"/>
  <c r="K18" i="4" a="1"/>
  <c r="K18" i="4"/>
  <c r="L18" i="4" a="1"/>
  <c r="L18" i="4"/>
  <c r="M18" i="4"/>
  <c r="N18" i="4"/>
  <c r="O18" i="4"/>
  <c r="A19" i="4"/>
  <c r="B19" i="4"/>
  <c r="C19" i="4"/>
  <c r="D19" i="4"/>
  <c r="E19" i="4"/>
  <c r="F19" i="4" a="1"/>
  <c r="F19" i="4"/>
  <c r="G19" i="4" a="1"/>
  <c r="G19" i="4"/>
  <c r="H19" i="4"/>
  <c r="I19" i="4"/>
  <c r="J19" i="4" a="1"/>
  <c r="J19" i="4"/>
  <c r="K19" i="4" a="1"/>
  <c r="K19" i="4"/>
  <c r="L19" i="4" a="1"/>
  <c r="L19" i="4"/>
  <c r="M19" i="4"/>
  <c r="N19" i="4"/>
  <c r="O19" i="4"/>
  <c r="A20" i="4"/>
  <c r="B20" i="4"/>
  <c r="C20" i="4"/>
  <c r="D20" i="4"/>
  <c r="E20" i="4"/>
  <c r="F20" i="4" a="1"/>
  <c r="F20" i="4"/>
  <c r="G20" i="4" a="1"/>
  <c r="G20" i="4"/>
  <c r="H20" i="4"/>
  <c r="I20" i="4"/>
  <c r="J20" i="4" a="1"/>
  <c r="J20" i="4"/>
  <c r="K20" i="4" a="1"/>
  <c r="K20" i="4"/>
  <c r="L20" i="4" a="1"/>
  <c r="L20" i="4"/>
  <c r="M20" i="4"/>
  <c r="N20" i="4"/>
  <c r="O20" i="4"/>
  <c r="A21" i="4"/>
  <c r="B21" i="4"/>
  <c r="C21" i="4"/>
  <c r="D21" i="4"/>
  <c r="E21" i="4"/>
  <c r="F21" i="4" a="1"/>
  <c r="F21" i="4"/>
  <c r="G21" i="4" a="1"/>
  <c r="G21" i="4"/>
  <c r="H21" i="4"/>
  <c r="I21" i="4"/>
  <c r="J21" i="4" a="1"/>
  <c r="J21" i="4"/>
  <c r="K21" i="4" a="1"/>
  <c r="K21" i="4"/>
  <c r="L21" i="4" a="1"/>
  <c r="L21" i="4"/>
  <c r="M21" i="4"/>
  <c r="N21" i="4"/>
  <c r="O21" i="4"/>
  <c r="A22" i="4"/>
  <c r="B22" i="4"/>
  <c r="C22" i="4"/>
  <c r="D22" i="4"/>
  <c r="E22" i="4"/>
  <c r="F22" i="4" a="1"/>
  <c r="F22" i="4"/>
  <c r="G22" i="4" a="1"/>
  <c r="G22" i="4"/>
  <c r="H22" i="4"/>
  <c r="I22" i="4"/>
  <c r="J22" i="4" a="1"/>
  <c r="J22" i="4"/>
  <c r="K22" i="4" a="1"/>
  <c r="K22" i="4"/>
  <c r="L22" i="4" a="1"/>
  <c r="L22" i="4"/>
  <c r="M22" i="4"/>
  <c r="N22" i="4"/>
  <c r="O22" i="4"/>
  <c r="A23" i="4"/>
  <c r="B23" i="4"/>
  <c r="C23" i="4"/>
  <c r="D23" i="4"/>
  <c r="E23" i="4"/>
  <c r="F23" i="4" a="1"/>
  <c r="F23" i="4"/>
  <c r="G23" i="4" a="1"/>
  <c r="G23" i="4"/>
  <c r="H23" i="4"/>
  <c r="I23" i="4"/>
  <c r="J23" i="4" a="1"/>
  <c r="J23" i="4"/>
  <c r="K23" i="4" a="1"/>
  <c r="K23" i="4"/>
  <c r="L23" i="4" a="1"/>
  <c r="L23" i="4"/>
  <c r="M23" i="4"/>
  <c r="N23" i="4"/>
  <c r="O23" i="4"/>
  <c r="A24" i="4"/>
  <c r="B24" i="4"/>
  <c r="C24" i="4"/>
  <c r="D24" i="4"/>
  <c r="E24" i="4"/>
  <c r="F24" i="4" a="1"/>
  <c r="F24" i="4"/>
  <c r="G24" i="4" a="1"/>
  <c r="G24" i="4"/>
  <c r="H24" i="4"/>
  <c r="I24" i="4"/>
  <c r="J24" i="4" a="1"/>
  <c r="J24" i="4"/>
  <c r="K24" i="4" a="1"/>
  <c r="K24" i="4"/>
  <c r="L24" i="4" a="1"/>
  <c r="L24" i="4"/>
  <c r="M24" i="4"/>
  <c r="N24" i="4"/>
  <c r="O24" i="4"/>
  <c r="A25" i="4"/>
  <c r="B25" i="4"/>
  <c r="C25" i="4"/>
  <c r="D25" i="4"/>
  <c r="E25" i="4"/>
  <c r="F25" i="4" a="1"/>
  <c r="F25" i="4"/>
  <c r="G25" i="4" a="1"/>
  <c r="G25" i="4"/>
  <c r="H25" i="4"/>
  <c r="I25" i="4"/>
  <c r="J25" i="4" a="1"/>
  <c r="J25" i="4"/>
  <c r="K25" i="4" a="1"/>
  <c r="K25" i="4"/>
  <c r="L25" i="4" a="1"/>
  <c r="L25" i="4"/>
  <c r="M25" i="4"/>
  <c r="N25" i="4"/>
  <c r="O25" i="4"/>
  <c r="A26" i="4"/>
  <c r="B26" i="4"/>
  <c r="C26" i="4"/>
  <c r="D26" i="4"/>
  <c r="E26" i="4"/>
  <c r="F26" i="4" a="1"/>
  <c r="F26" i="4"/>
  <c r="G26" i="4" a="1"/>
  <c r="G26" i="4"/>
  <c r="H26" i="4"/>
  <c r="I26" i="4"/>
  <c r="J26" i="4" a="1"/>
  <c r="J26" i="4"/>
  <c r="K26" i="4" a="1"/>
  <c r="K26" i="4"/>
  <c r="L26" i="4" a="1"/>
  <c r="L26" i="4"/>
  <c r="M26" i="4"/>
  <c r="N26" i="4"/>
  <c r="O26" i="4"/>
  <c r="A27" i="4"/>
  <c r="B27" i="4"/>
  <c r="C27" i="4"/>
  <c r="D27" i="4"/>
  <c r="E27" i="4"/>
  <c r="F27" i="4" a="1"/>
  <c r="F27" i="4"/>
  <c r="G27" i="4" a="1"/>
  <c r="G27" i="4"/>
  <c r="H27" i="4"/>
  <c r="I27" i="4"/>
  <c r="J27" i="4" a="1"/>
  <c r="J27" i="4"/>
  <c r="K27" i="4" a="1"/>
  <c r="K27" i="4"/>
  <c r="L27" i="4" a="1"/>
  <c r="L27" i="4"/>
  <c r="M27" i="4"/>
  <c r="N27" i="4"/>
  <c r="O27" i="4"/>
  <c r="A28" i="4"/>
  <c r="B28" i="4"/>
  <c r="C28" i="4"/>
  <c r="D28" i="4"/>
  <c r="E28" i="4"/>
  <c r="F28" i="4" a="1"/>
  <c r="F28" i="4"/>
  <c r="G28" i="4" a="1"/>
  <c r="G28" i="4"/>
  <c r="H28" i="4"/>
  <c r="I28" i="4"/>
  <c r="J28" i="4" a="1"/>
  <c r="J28" i="4"/>
  <c r="K28" i="4" a="1"/>
  <c r="K28" i="4"/>
  <c r="L28" i="4" a="1"/>
  <c r="L28" i="4"/>
  <c r="M28" i="4"/>
  <c r="N28" i="4"/>
  <c r="O28" i="4"/>
  <c r="A29" i="4"/>
  <c r="B29" i="4"/>
  <c r="C29" i="4"/>
  <c r="D29" i="4"/>
  <c r="E29" i="4"/>
  <c r="F29" i="4" a="1"/>
  <c r="F29" i="4"/>
  <c r="G29" i="4" a="1"/>
  <c r="G29" i="4"/>
  <c r="H29" i="4"/>
  <c r="I29" i="4"/>
  <c r="J29" i="4" a="1"/>
  <c r="J29" i="4"/>
  <c r="K29" i="4" a="1"/>
  <c r="K29" i="4"/>
  <c r="L29" i="4" a="1"/>
  <c r="L29" i="4"/>
  <c r="M29" i="4"/>
  <c r="N29" i="4"/>
  <c r="O29" i="4"/>
  <c r="A30" i="4"/>
  <c r="B30" i="4"/>
  <c r="C30" i="4"/>
  <c r="D30" i="4"/>
  <c r="E30" i="4"/>
  <c r="F30" i="4" a="1"/>
  <c r="F30" i="4"/>
  <c r="G30" i="4" a="1"/>
  <c r="G30" i="4"/>
  <c r="H30" i="4"/>
  <c r="I30" i="4"/>
  <c r="J30" i="4" a="1"/>
  <c r="J30" i="4"/>
  <c r="K30" i="4" a="1"/>
  <c r="K30" i="4"/>
  <c r="L30" i="4" a="1"/>
  <c r="L30" i="4"/>
  <c r="M30" i="4"/>
  <c r="N30" i="4"/>
  <c r="O30" i="4"/>
  <c r="A31" i="4"/>
  <c r="B31" i="4"/>
  <c r="C31" i="4"/>
  <c r="D31" i="4"/>
  <c r="E31" i="4"/>
  <c r="F31" i="4" a="1"/>
  <c r="F31" i="4"/>
  <c r="G31" i="4" a="1"/>
  <c r="G31" i="4"/>
  <c r="H31" i="4"/>
  <c r="I31" i="4"/>
  <c r="J31" i="4" a="1"/>
  <c r="J31" i="4"/>
  <c r="K31" i="4" a="1"/>
  <c r="K31" i="4"/>
  <c r="L31" i="4" a="1"/>
  <c r="L31" i="4"/>
  <c r="M31" i="4"/>
  <c r="N31" i="4"/>
  <c r="O31" i="4"/>
  <c r="A32" i="4"/>
  <c r="B32" i="4"/>
  <c r="C32" i="4"/>
  <c r="D32" i="4"/>
  <c r="E32" i="4"/>
  <c r="F32" i="4" a="1"/>
  <c r="F32" i="4"/>
  <c r="G32" i="4" a="1"/>
  <c r="G32" i="4"/>
  <c r="H32" i="4"/>
  <c r="I32" i="4"/>
  <c r="J32" i="4" a="1"/>
  <c r="J32" i="4"/>
  <c r="K32" i="4" a="1"/>
  <c r="K32" i="4"/>
  <c r="L32" i="4" a="1"/>
  <c r="L32" i="4"/>
  <c r="M32" i="4"/>
  <c r="N32" i="4"/>
  <c r="O32" i="4"/>
  <c r="A33" i="4"/>
  <c r="B33" i="4"/>
  <c r="C33" i="4"/>
  <c r="D33" i="4"/>
  <c r="E33" i="4"/>
  <c r="F33" i="4" a="1"/>
  <c r="F33" i="4"/>
  <c r="G33" i="4" a="1"/>
  <c r="G33" i="4"/>
  <c r="H33" i="4"/>
  <c r="I33" i="4"/>
  <c r="J33" i="4" a="1"/>
  <c r="J33" i="4"/>
  <c r="K33" i="4" a="1"/>
  <c r="K33" i="4"/>
  <c r="L33" i="4" a="1"/>
  <c r="L33" i="4"/>
  <c r="M33" i="4"/>
  <c r="N33" i="4"/>
  <c r="O33" i="4"/>
  <c r="A34" i="4"/>
  <c r="B34" i="4"/>
  <c r="C34" i="4"/>
  <c r="D34" i="4"/>
  <c r="E34" i="4"/>
  <c r="F34" i="4" a="1"/>
  <c r="F34" i="4"/>
  <c r="G34" i="4" a="1"/>
  <c r="G34" i="4"/>
  <c r="H34" i="4"/>
  <c r="I34" i="4"/>
  <c r="J34" i="4" a="1"/>
  <c r="J34" i="4"/>
  <c r="K34" i="4" a="1"/>
  <c r="K34" i="4"/>
  <c r="L34" i="4" a="1"/>
  <c r="L34" i="4"/>
  <c r="M34" i="4"/>
  <c r="N34" i="4"/>
  <c r="O34" i="4"/>
  <c r="A35" i="4"/>
  <c r="B35" i="4"/>
  <c r="C35" i="4"/>
  <c r="D35" i="4"/>
  <c r="E35" i="4"/>
  <c r="F35" i="4" a="1"/>
  <c r="F35" i="4"/>
  <c r="G35" i="4" a="1"/>
  <c r="G35" i="4"/>
  <c r="H35" i="4"/>
  <c r="I35" i="4"/>
  <c r="J35" i="4" a="1"/>
  <c r="J35" i="4"/>
  <c r="K35" i="4" a="1"/>
  <c r="K35" i="4"/>
  <c r="L35" i="4" a="1"/>
  <c r="L35" i="4"/>
  <c r="M35" i="4"/>
  <c r="N35" i="4"/>
  <c r="O35" i="4"/>
  <c r="A36" i="4"/>
  <c r="B36" i="4"/>
  <c r="C36" i="4"/>
  <c r="D36" i="4"/>
  <c r="E36" i="4"/>
  <c r="F36" i="4" a="1"/>
  <c r="F36" i="4"/>
  <c r="G36" i="4" a="1"/>
  <c r="G36" i="4"/>
  <c r="H36" i="4"/>
  <c r="I36" i="4"/>
  <c r="J36" i="4" a="1"/>
  <c r="J36" i="4"/>
  <c r="K36" i="4" a="1"/>
  <c r="K36" i="4"/>
  <c r="L36" i="4" a="1"/>
  <c r="L36" i="4"/>
  <c r="M36" i="4"/>
  <c r="N36" i="4"/>
  <c r="O36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<sst xmlns="http://schemas.openxmlformats.org/spreadsheetml/2006/main" count="646" uniqueCount="136">
  <si>
    <t>Contoso — Proje Portföyü Ana Verisi</t>
  </si>
  <si>
    <t>Aktif dönüşüm ve iyileştirme projeleri. Tüm rakamlar örnek veridir.</t>
  </si>
  <si>
    <t>Proje No</t>
  </si>
  <si>
    <t>Proje</t>
  </si>
  <si>
    <t>Sorumlu</t>
  </si>
  <si>
    <t>Sponsor</t>
  </si>
  <si>
    <t>Onaylı Bütçe</t>
  </si>
  <si>
    <t>Öncelik</t>
  </si>
  <si>
    <t>Bağımlı Olduğu Proje</t>
  </si>
  <si>
    <t>P-001</t>
  </si>
  <si>
    <t>Alfa Panel Kapasite Artışı</t>
  </si>
  <si>
    <t>Aylin Demir</t>
  </si>
  <si>
    <t>CFO</t>
  </si>
  <si>
    <t>Stratejik</t>
  </si>
  <si>
    <t>P-002</t>
  </si>
  <si>
    <t>Gebze Sevkiyat İyileştirme</t>
  </si>
  <si>
    <t>Burak Yalçın</t>
  </si>
  <si>
    <t>COO</t>
  </si>
  <si>
    <t>Zorunlu</t>
  </si>
  <si>
    <t>P-003</t>
  </si>
  <si>
    <t>ERP Mutabakat Otomasyonu</t>
  </si>
  <si>
    <t>Ceren Aksoy</t>
  </si>
  <si>
    <t>CCO</t>
  </si>
  <si>
    <t>İyileştirme</t>
  </si>
  <si>
    <t>P-004</t>
  </si>
  <si>
    <t>Müşteri Karlılık Modeli</t>
  </si>
  <si>
    <t>Deniz Koç</t>
  </si>
  <si>
    <t>CIO</t>
  </si>
  <si>
    <t>P-005</t>
  </si>
  <si>
    <t>Bayi Portalı Yenileme</t>
  </si>
  <si>
    <t>Ece Şahin</t>
  </si>
  <si>
    <t>P-006</t>
  </si>
  <si>
    <t>Gama Sensör Kalite Programı</t>
  </si>
  <si>
    <t>Mert Arslan</t>
  </si>
  <si>
    <t>P-007</t>
  </si>
  <si>
    <t>Saha Servis Mobil</t>
  </si>
  <si>
    <t>P-008</t>
  </si>
  <si>
    <t>Veri Ambarı Modernizasyonu</t>
  </si>
  <si>
    <t>P-009</t>
  </si>
  <si>
    <t>Tahsilat İş Akışı</t>
  </si>
  <si>
    <t>P-010</t>
  </si>
  <si>
    <t>Ürün Ana Veri Temizliği</t>
  </si>
  <si>
    <t>P-011</t>
  </si>
  <si>
    <t>İzmir Depo Taşıma</t>
  </si>
  <si>
    <t>P-012</t>
  </si>
  <si>
    <t>Online İade Azaltma</t>
  </si>
  <si>
    <t>P-013</t>
  </si>
  <si>
    <t>Tedarikçi Risk İzleme</t>
  </si>
  <si>
    <t>P-014</t>
  </si>
  <si>
    <t>Planlama Modeli Yenileme</t>
  </si>
  <si>
    <t>P-015</t>
  </si>
  <si>
    <t>Fiyatlandırma Motoru</t>
  </si>
  <si>
    <t>P-016</t>
  </si>
  <si>
    <t>Enerji Verimliliği</t>
  </si>
  <si>
    <t>P-017</t>
  </si>
  <si>
    <t>Bakım Planlama</t>
  </si>
  <si>
    <t>P-018</t>
  </si>
  <si>
    <t>Kanal Teşvik Programı</t>
  </si>
  <si>
    <t>P-019</t>
  </si>
  <si>
    <t>Satış Tahmin Modeli</t>
  </si>
  <si>
    <t>P-020</t>
  </si>
  <si>
    <t>Siber Güvenlik Sertleştirme</t>
  </si>
  <si>
    <t>P-021</t>
  </si>
  <si>
    <t>Kalite Laboratuvarı</t>
  </si>
  <si>
    <t>P-022</t>
  </si>
  <si>
    <t>İK Beceri Haritası</t>
  </si>
  <si>
    <t>P-023</t>
  </si>
  <si>
    <t>Finans Kapanış Hızlandırma</t>
  </si>
  <si>
    <t>P-024</t>
  </si>
  <si>
    <t>Müşteri Veri Platformu</t>
  </si>
  <si>
    <t>P-025</t>
  </si>
  <si>
    <t>Sigma Seri Yeniden Tasarım</t>
  </si>
  <si>
    <t>P-026</t>
  </si>
  <si>
    <t>Ankara Dağıtım Merkezi</t>
  </si>
  <si>
    <t>P-027</t>
  </si>
  <si>
    <t>Servis Yedek Parça Planı</t>
  </si>
  <si>
    <t>P-028</t>
  </si>
  <si>
    <t>Sözleşme Arşivi</t>
  </si>
  <si>
    <t>P-029</t>
  </si>
  <si>
    <t>Bütçe Planlama</t>
  </si>
  <si>
    <t>P-030</t>
  </si>
  <si>
    <t>Tedarikçi Portalı</t>
  </si>
  <si>
    <t>P-031</t>
  </si>
  <si>
    <t>Çevresel Raporlama</t>
  </si>
  <si>
    <t>P-032</t>
  </si>
  <si>
    <t>Kampanya Ölçümleme</t>
  </si>
  <si>
    <t>Contoso — Aylık Proje Durumları</t>
  </si>
  <si>
    <t>Ocak–Haziran 2026; harcama, ilerleme, kilometre taşı ve kapasite görünümü.</t>
  </si>
  <si>
    <t>Dönem</t>
  </si>
  <si>
    <t>Bütçe</t>
  </si>
  <si>
    <t>Harcanan</t>
  </si>
  <si>
    <t>Planlanan Tamamlanma</t>
  </si>
  <si>
    <t>Gerçek Tamamlanma</t>
  </si>
  <si>
    <t>Gecikme (Gün)</t>
  </si>
  <si>
    <t>Açık Risk</t>
  </si>
  <si>
    <t>Ekip Yükü</t>
  </si>
  <si>
    <t>İcra kurulu kuralları</t>
  </si>
  <si>
    <t>Analiz sırasında kullanılacak iş tanımları ve karar eşikleri.</t>
  </si>
  <si>
    <t>Konu</t>
  </si>
  <si>
    <t>Tanım</t>
  </si>
  <si>
    <t>Tahmini toplam</t>
  </si>
  <si>
    <t>Son harcama / gerçek tamamlanma oranıyla EAC hesaplayın; tamamlanma sıfırsa inceleme listesine alın.</t>
  </si>
  <si>
    <t>Kırmızı</t>
  </si>
  <si>
    <t>EAC bütçenin %110'unu aşıyor, gecikme 15 günü geçiyor veya ekip yükü %110'un üzerindeyse kırmızı.</t>
  </si>
  <si>
    <t>Karar gündemi</t>
  </si>
  <si>
    <t>Yalnız durum bildirmeyin; durdurma, kapsam daraltma, bütçe artırma veya bağımlılık çözme kararını belirtin.</t>
  </si>
  <si>
    <t>Bağımlılık</t>
  </si>
  <si>
    <t>Kırmızı bir projenin bağlı projelerini ayrıca işaretleyin.</t>
  </si>
  <si>
    <t>Contoso — İcra Kurulu Gündem Tablosu (Haziran 2026)</t>
  </si>
  <si>
    <t>Tüm hesaplamalar canlı formüllerle yapılmaktadır. Kaynak veriler değiştikçe bu tablo otomatik güncellenir.</t>
  </si>
  <si>
    <t>Proje Adı</t>
  </si>
  <si>
    <t>EAC</t>
  </si>
  <si>
    <t>Bütçe Sapması</t>
  </si>
  <si>
    <t>İlerleme Farkı</t>
  </si>
  <si>
    <t>Risk Durumu</t>
  </si>
  <si>
    <t>Karar Önerisi</t>
  </si>
  <si>
    <t>Karar Sahibi</t>
  </si>
  <si>
    <t>Bağımlı Olduğu</t>
  </si>
  <si>
    <t>Bağımlı Proje Sayısı</t>
  </si>
  <si>
    <t>Bağımlılık Riski</t>
  </si>
  <si>
    <t>📊 Portföy Özet İstatistikleri</t>
  </si>
  <si>
    <t>🚨 Acil Karar Gerektiren Projeler (KIRMIZI)</t>
  </si>
  <si>
    <t>Sıra</t>
  </si>
  <si>
    <t>EAC/Bütçe</t>
  </si>
  <si>
    <t>Gecikme</t>
  </si>
  <si>
    <t>Karar</t>
  </si>
  <si>
    <t>Toplam Proje Sayısı</t>
  </si>
  <si>
    <t>Kırmızı Proje Sayısı</t>
  </si>
  <si>
    <t>Sarı Proje Sayısı</t>
  </si>
  <si>
    <t>Yeşil Proje Sayısı</t>
  </si>
  <si>
    <t>Toplam Onaylı Bütçe</t>
  </si>
  <si>
    <t>Toplam Harcanan</t>
  </si>
  <si>
    <t>Toplam Tahmini Maliyet (EAC)</t>
  </si>
  <si>
    <t>Ortalama Bütçe Sapması</t>
  </si>
  <si>
    <t>Kritik Bağımlılık Sayısı</t>
  </si>
  <si>
    <t>Yüksek Bağımlılık Riski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</si>
</sst>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0.0%"/>
  </numFmts>
  <fonts count="10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i/>
      <sz val="10"/>
      <color rgb="FF667085"/>
      <name val="Calibri"/>
    </font>
    <font>
      <b/>
      <sz val="11"/>
      <color rgb="FFFFFFFF"/>
      <name val="Calibri"/>
    </font>
    <font>
      <b/>
      <sz val="14"/>
      <color rgb="FFFFFFFF"/>
      <name val="Calibri"/>
      <family val="2"/>
      <scheme val="minor"/>
    </font>
    <font>
      <i/>
      <sz val="10"/>
      <color rgb="FF66666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CC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1F4E79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6DCE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CCCC"/>
        <bgColor indexed="64"/>
      </patternFill>
    </fill>
  </fills>
  <borders count="12">
    <border>
      <left/>
      <right/>
      <top/>
      <bottom/>
      <diagonal/>
    </border>
    <border>
      <left style="thin">
        <color rgb="FFD9DEE7"/>
      </left>
      <right style="thin">
        <color rgb="FFD9DEE7"/>
      </right>
      <top style="thin">
        <color rgb="FFD9DEE7"/>
      </top>
      <bottom style="thin">
        <color rgb="FFD9DEE7"/>
      </bottom>
      <diagonal/>
    </border>
    <border>
      <left style="thin">
        <color auto="1"/>
      </left>
      <right style="thin">
        <color rgb="FFD9D9D9"/>
      </right>
      <top style="thin">
        <color auto="1"/>
      </top>
      <bottom style="medium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auto="1"/>
      </top>
      <bottom style="medium">
        <color rgb="FFD9D9D9"/>
      </bottom>
      <diagonal/>
    </border>
    <border>
      <left style="thin">
        <color rgb="FFD9D9D9"/>
      </left>
      <right style="thin">
        <color auto="1"/>
      </right>
      <top style="thin">
        <color auto="1"/>
      </top>
      <bottom style="medium">
        <color rgb="FFD9D9D9"/>
      </bottom>
      <diagonal/>
    </border>
    <border>
      <left style="thin">
        <color auto="1"/>
      </left>
      <right style="thin">
        <color rgb="FFD9D9D9"/>
      </right>
      <top style="medium">
        <color rgb="FFD9D9D9"/>
      </top>
      <bottom style="medium">
        <color rgb="FFD9D9D9"/>
      </bottom>
      <diagonal/>
    </border>
    <border>
      <left style="thin">
        <color rgb="FFD9D9D9"/>
      </left>
      <right style="thin">
        <color rgb="FFD9D9D9"/>
      </right>
      <top style="medium">
        <color rgb="FFD9D9D9"/>
      </top>
      <bottom style="medium">
        <color rgb="FFD9D9D9"/>
      </bottom>
      <diagonal/>
    </border>
    <border>
      <left style="thin">
        <color rgb="FFD9D9D9"/>
      </left>
      <right style="thin">
        <color auto="1"/>
      </right>
      <top style="medium">
        <color rgb="FFD9D9D9"/>
      </top>
      <bottom style="medium">
        <color rgb="FFD9D9D9"/>
      </bottom>
      <diagonal/>
    </border>
    <border>
      <left style="thin">
        <color auto="1"/>
      </left>
      <right style="thin">
        <color rgb="FFD9D9D9"/>
      </right>
      <top style="medium">
        <color rgb="FFD9D9D9"/>
      </top>
      <bottom style="thin">
        <color auto="1"/>
      </bottom>
      <diagonal/>
    </border>
    <border>
      <left style="thin">
        <color rgb="FFD9D9D9"/>
      </left>
      <right style="thin">
        <color rgb="FFD9D9D9"/>
      </right>
      <top style="medium">
        <color rgb="FFD9D9D9"/>
      </top>
      <bottom style="thin">
        <color auto="1"/>
      </bottom>
      <diagonal/>
    </border>
    <border>
      <left style="thin">
        <color rgb="FFD9D9D9"/>
      </left>
      <right style="thin">
        <color auto="1"/>
      </right>
      <top style="medium">
        <color rgb="FFD9D9D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3" fontId="0" fillId="0" borderId="6" xfId="0" applyNumberFormat="1" applyBorder="1" applyAlignment="1">
      <alignment horizontal="right"/>
    </xf>
    <xf numFmtId="165" fontId="0" fillId="0" borderId="6" xfId="0" applyNumberFormat="1" applyBorder="1" applyAlignment="1">
      <alignment horizontal="right"/>
    </xf>
    <xf numFmtId="1" fontId="0" fillId="0" borderId="6" xfId="0" applyNumberFormat="1" applyBorder="1" applyAlignment="1">
      <alignment horizontal="right"/>
    </xf>
    <xf numFmtId="0" fontId="0" fillId="0" borderId="7" xfId="0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6" xfId="0" applyFill="1" applyBorder="1"/>
    <xf numFmtId="0" fontId="0" fillId="9" borderId="6" xfId="0" applyFill="1" applyBorder="1" applyAlignment="1">
      <alignment horizontal="center"/>
    </xf>
    <xf numFmtId="3" fontId="0" fillId="9" borderId="6" xfId="0" applyNumberFormat="1" applyFill="1" applyBorder="1" applyAlignment="1">
      <alignment horizontal="right"/>
    </xf>
    <xf numFmtId="165" fontId="0" fillId="9" borderId="6" xfId="0" applyNumberFormat="1" applyFill="1" applyBorder="1" applyAlignment="1">
      <alignment horizontal="right"/>
    </xf>
    <xf numFmtId="1" fontId="0" fillId="9" borderId="6" xfId="0" applyNumberFormat="1" applyFill="1" applyBorder="1" applyAlignment="1">
      <alignment horizontal="right"/>
    </xf>
    <xf numFmtId="0" fontId="0" fillId="9" borderId="7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9" borderId="9" xfId="0" applyFill="1" applyBorder="1"/>
    <xf numFmtId="0" fontId="0" fillId="9" borderId="9" xfId="0" applyFill="1" applyBorder="1" applyAlignment="1">
      <alignment horizontal="center"/>
    </xf>
    <xf numFmtId="3" fontId="0" fillId="9" borderId="9" xfId="0" applyNumberFormat="1" applyFill="1" applyBorder="1" applyAlignment="1">
      <alignment horizontal="right"/>
    </xf>
    <xf numFmtId="165" fontId="0" fillId="9" borderId="9" xfId="0" applyNumberFormat="1" applyFill="1" applyBorder="1" applyAlignment="1">
      <alignment horizontal="right"/>
    </xf>
    <xf numFmtId="1" fontId="0" fillId="9" borderId="9" xfId="0" applyNumberFormat="1" applyFill="1" applyBorder="1" applyAlignment="1">
      <alignment horizontal="right"/>
    </xf>
    <xf numFmtId="0" fontId="0" fillId="9" borderId="10" xfId="0" applyFill="1" applyBorder="1" applyAlignment="1">
      <alignment horizontal="center"/>
    </xf>
    <xf numFmtId="0" fontId="6" fillId="8" borderId="11" xfId="0" applyFont="1" applyFill="1" applyBorder="1" applyAlignment="1">
      <alignment horizontal="center"/>
    </xf>
    <xf numFmtId="0" fontId="0" fillId="10" borderId="11" xfId="0" applyFill="1" applyBorder="1" applyAlignment="1">
      <alignment horizontal="center"/>
    </xf>
    <xf numFmtId="165" fontId="0" fillId="10" borderId="11" xfId="0" applyNumberFormat="1" applyFill="1" applyBorder="1" applyAlignment="1">
      <alignment horizontal="center"/>
    </xf>
    <xf numFmtId="1" fontId="0" fillId="10" borderId="11" xfId="0" applyNumberFormat="1" applyFill="1" applyBorder="1" applyAlignment="1">
      <alignment horizontal="center"/>
    </xf>
    <xf numFmtId="0" fontId="6" fillId="6" borderId="11" xfId="0" applyFont="1" applyFill="1" applyBorder="1"/>
    <xf numFmtId="0" fontId="0" fillId="0" borderId="11" xfId="0" applyBorder="1" applyAlignment="1">
      <alignment horizontal="right"/>
    </xf>
    <xf numFmtId="3" fontId="0" fillId="0" borderId="11" xfId="0" applyNumberFormat="1" applyBorder="1" applyAlignment="1">
      <alignment horizontal="right"/>
    </xf>
    <xf numFmtId="165" fontId="0" fillId="0" borderId="11" xfId="0" applyNumberFormat="1" applyBorder="1" applyAlignment="1">
      <alignment horizontal="right"/>
    </xf>
    <xf numFmtId="0" fontId="6" fillId="11" borderId="11" xfId="0" applyFont="1" applyFill="1" applyBorder="1"/>
    <xf numFmtId="0" fontId="9" fillId="11" borderId="11" xfId="0" applyFont="1" applyFill="1" applyBorder="1" applyAlignment="1">
      <alignment horizontal="right"/>
    </xf>
    <xf numFmtId="0" fontId="0" fillId="0" borderId="0" xfId="0" applyAlignment="1"/>
    <xf numFmtId="0" fontId="5" fillId="0" borderId="0" xfId="0" applyFont="1" applyAlignment="1"/>
    <xf numFmtId="0" fontId="8" fillId="5" borderId="0" xfId="0" applyFont="1" applyFill="1" applyAlignment="1"/>
    <xf numFmtId="0" fontId="8" fillId="7" borderId="0" xfId="0" applyFont="1" applyFill="1" applyAlignment="1"/>
  </cellXfs>
  <cellStyles count="1">
    <cellStyle name="Normal" xfId="0" builtinId="0"/>
  </cellStyles>
  <dxfs count="8">
    <dxf>
      <font>
        <b/>
        <i val="0"/>
        <color rgb="FFFFFFFF"/>
      </font>
      <fill>
        <patternFill patternType="solid">
          <fgColor indexed="64"/>
          <bgColor rgb="FFFF8C00"/>
        </patternFill>
      </fill>
    </dxf>
    <dxf>
      <font>
        <b/>
        <i val="0"/>
        <color rgb="FFFFFFFF"/>
      </font>
      <fill>
        <patternFill patternType="solid">
          <fgColor indexed="64"/>
          <bgColor rgb="FF8B0000"/>
        </patternFill>
      </fill>
    </dxf>
    <dxf>
      <font>
        <b/>
        <i val="0"/>
        <color rgb="FFCC0000"/>
      </font>
      <fill>
        <patternFill patternType="solid">
          <fgColor indexed="64"/>
          <bgColor rgb="FFFFCCCC"/>
        </patternFill>
      </fill>
    </dxf>
    <dxf>
      <font>
        <b/>
        <i val="0"/>
        <color rgb="FFCC0000"/>
      </font>
      <fill>
        <patternFill patternType="solid">
          <fgColor indexed="64"/>
          <bgColor rgb="FFFFCCCC"/>
        </patternFill>
      </fill>
    </dxf>
    <dxf>
      <font>
        <b/>
        <i val="0"/>
        <color rgb="FFCC0000"/>
      </font>
      <fill>
        <patternFill patternType="solid">
          <fgColor indexed="64"/>
          <bgColor rgb="FFFFCCCC"/>
        </patternFill>
      </fill>
    </dxf>
    <dxf>
      <font>
        <b/>
        <i val="0"/>
        <color rgb="FFFFFFFF"/>
      </font>
      <fill>
        <patternFill patternType="solid">
          <fgColor indexed="64"/>
          <bgColor rgb="FF6BCB77"/>
        </patternFill>
      </fill>
    </dxf>
    <dxf>
      <font>
        <b/>
        <i val="0"/>
        <color rgb="FF333333"/>
      </font>
      <fill>
        <patternFill patternType="solid">
          <fgColor indexed="64"/>
          <bgColor rgb="FFFFD93D"/>
        </patternFill>
      </fill>
    </dxf>
    <dxf>
      <font>
        <b/>
        <i val="0"/>
        <color rgb="FFFFFFFF"/>
      </font>
      <fill>
        <patternFill patternType="solid">
          <fgColor indexed="64"/>
          <bgColor rgb="FFFF6B6B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ojeAnaVerisi" displayName="ProjeAnaVerisi" ref="A4:G36">
  <autoFilter ref="A4:G36" xr:uid="{00000000-0009-0000-0100-000001000000}"/>
  <tableColumns count="7">
    <tableColumn id="1" xr3:uid="{00000000-0010-0000-0000-000001000000}" name="Proje No"/>
    <tableColumn id="2" xr3:uid="{00000000-0010-0000-0000-000002000000}" name="Proje"/>
    <tableColumn id="3" xr3:uid="{00000000-0010-0000-0000-000003000000}" name="Sorumlu"/>
    <tableColumn id="4" xr3:uid="{00000000-0010-0000-0000-000004000000}" name="Sponsor"/>
    <tableColumn id="5" xr3:uid="{00000000-0010-0000-0000-000005000000}" name="Onaylı Bütçe"/>
    <tableColumn id="6" xr3:uid="{00000000-0010-0000-0000-000006000000}" name="Öncelik"/>
    <tableColumn id="7" xr3:uid="{00000000-0010-0000-0000-000007000000}" name="Bağımlı Olduğu Proj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rojeAylikDurum" displayName="ProjeAylikDurum" ref="A4:J196">
  <autoFilter ref="A4:J196" xr:uid="{00000000-0009-0000-0100-000002000000}"/>
  <tableColumns count="10">
    <tableColumn id="1" xr3:uid="{00000000-0010-0000-0100-000001000000}" name="Dönem"/>
    <tableColumn id="2" xr3:uid="{00000000-0010-0000-0100-000002000000}" name="Proje No"/>
    <tableColumn id="3" xr3:uid="{00000000-0010-0000-0100-000003000000}" name="Proje"/>
    <tableColumn id="4" xr3:uid="{00000000-0010-0000-0100-000004000000}" name="Bütçe"/>
    <tableColumn id="5" xr3:uid="{00000000-0010-0000-0100-000005000000}" name="Harcanan"/>
    <tableColumn id="6" xr3:uid="{00000000-0010-0000-0100-000006000000}" name="Planlanan Tamamlanma"/>
    <tableColumn id="7" xr3:uid="{00000000-0010-0000-0100-000007000000}" name="Gerçek Tamamlanma"/>
    <tableColumn id="8" xr3:uid="{00000000-0010-0000-0100-000008000000}" name="Gecikme (Gün)"/>
    <tableColumn id="9" xr3:uid="{00000000-0010-0000-0100-000009000000}" name="Açık Risk"/>
    <tableColumn id="10" xr3:uid="{00000000-0010-0000-0100-00000A000000}" name="Ekip Yükü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IsNotlari" displayName="IsNotlari" ref="A4:B8">
  <autoFilter ref="A4:B8" xr:uid="{00000000-0009-0000-0100-000003000000}"/>
  <tableColumns count="2">
    <tableColumn id="1" xr3:uid="{00000000-0010-0000-0200-000001000000}" name="Konu"/>
    <tableColumn id="2" xr3:uid="{00000000-0010-0000-0200-000002000000}" name="Tanı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workbookViewId="0">
      <pane ySplit="4" topLeftCell="A5" activePane="bottomLeft" state="frozen"/>
      <selection pane="bottomLeft" sqref="A1:G1"/>
    </sheetView>
  </sheetViews>
  <sheetFormatPr defaultRowHeight="15"/>
  <cols>
    <col min="1" max="1" width="12" customWidth="1"/>
    <col min="2" max="2" width="32" customWidth="1"/>
    <col min="3" max="3" width="18" customWidth="1"/>
    <col min="4" max="4" width="12" customWidth="1"/>
    <col min="5" max="5" width="16" customWidth="1"/>
    <col min="6" max="6" width="15" customWidth="1"/>
    <col min="7" max="7" width="22" customWidth="1"/>
  </cols>
  <sheetData>
    <row r="1" spans="1:7" ht="27.95" customHeight="1">
      <c r="A1" s="6" t="s">
        <v>0</v>
      </c>
      <c r="B1" s="42"/>
      <c r="C1" s="42"/>
      <c r="D1" s="42"/>
      <c r="E1" s="42"/>
      <c r="F1" s="42"/>
      <c r="G1" s="42"/>
    </row>
    <row r="2" spans="1:7">
      <c r="A2" s="5" t="s">
        <v>1</v>
      </c>
      <c r="B2" s="42"/>
      <c r="C2" s="42"/>
      <c r="D2" s="42"/>
      <c r="E2" s="42"/>
      <c r="F2" s="42"/>
      <c r="G2" s="42"/>
    </row>
    <row r="4" spans="1:7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5" spans="1:7">
      <c r="A5" s="2" t="s">
        <v>9</v>
      </c>
      <c r="B5" s="2" t="s">
        <v>10</v>
      </c>
      <c r="C5" s="2" t="s">
        <v>11</v>
      </c>
      <c r="D5" s="2" t="s">
        <v>12</v>
      </c>
      <c r="E5" s="3">
        <v>6000000</v>
      </c>
      <c r="F5" s="2" t="s">
        <v>13</v>
      </c>
      <c r="G5" s="2"/>
    </row>
    <row r="6" spans="1:7">
      <c r="A6" s="2" t="s">
        <v>14</v>
      </c>
      <c r="B6" s="2" t="s">
        <v>15</v>
      </c>
      <c r="C6" s="2" t="s">
        <v>16</v>
      </c>
      <c r="D6" s="2" t="s">
        <v>17</v>
      </c>
      <c r="E6" s="3">
        <v>28000000</v>
      </c>
      <c r="F6" s="2" t="s">
        <v>18</v>
      </c>
      <c r="G6" s="2"/>
    </row>
    <row r="7" spans="1:7">
      <c r="A7" s="2" t="s">
        <v>19</v>
      </c>
      <c r="B7" s="2" t="s">
        <v>20</v>
      </c>
      <c r="C7" s="2" t="s">
        <v>21</v>
      </c>
      <c r="D7" s="2" t="s">
        <v>22</v>
      </c>
      <c r="E7" s="3">
        <v>27000000</v>
      </c>
      <c r="F7" s="2" t="s">
        <v>23</v>
      </c>
      <c r="G7" s="2"/>
    </row>
    <row r="8" spans="1:7">
      <c r="A8" s="2" t="s">
        <v>24</v>
      </c>
      <c r="B8" s="2" t="s">
        <v>25</v>
      </c>
      <c r="C8" s="2" t="s">
        <v>26</v>
      </c>
      <c r="D8" s="2" t="s">
        <v>27</v>
      </c>
      <c r="E8" s="3">
        <v>19000000</v>
      </c>
      <c r="F8" s="2" t="s">
        <v>13</v>
      </c>
      <c r="G8" s="2"/>
    </row>
    <row r="9" spans="1:7">
      <c r="A9" s="2" t="s">
        <v>28</v>
      </c>
      <c r="B9" s="2" t="s">
        <v>29</v>
      </c>
      <c r="C9" s="2" t="s">
        <v>30</v>
      </c>
      <c r="D9" s="2" t="s">
        <v>12</v>
      </c>
      <c r="E9" s="3">
        <v>16000000</v>
      </c>
      <c r="F9" s="2" t="s">
        <v>18</v>
      </c>
      <c r="G9" s="2" t="s">
        <v>9</v>
      </c>
    </row>
    <row r="10" spans="1:7">
      <c r="A10" s="2" t="s">
        <v>31</v>
      </c>
      <c r="B10" s="2" t="s">
        <v>32</v>
      </c>
      <c r="C10" s="2" t="s">
        <v>33</v>
      </c>
      <c r="D10" s="2" t="s">
        <v>17</v>
      </c>
      <c r="E10" s="3">
        <v>16000000</v>
      </c>
      <c r="F10" s="2" t="s">
        <v>23</v>
      </c>
      <c r="G10" s="2" t="s">
        <v>14</v>
      </c>
    </row>
    <row r="11" spans="1:7">
      <c r="A11" s="2" t="s">
        <v>34</v>
      </c>
      <c r="B11" s="2" t="s">
        <v>35</v>
      </c>
      <c r="C11" s="2" t="s">
        <v>11</v>
      </c>
      <c r="D11" s="2" t="s">
        <v>22</v>
      </c>
      <c r="E11" s="3">
        <v>32000000</v>
      </c>
      <c r="F11" s="2" t="s">
        <v>13</v>
      </c>
      <c r="G11" s="2" t="s">
        <v>19</v>
      </c>
    </row>
    <row r="12" spans="1:7">
      <c r="A12" s="2" t="s">
        <v>36</v>
      </c>
      <c r="B12" s="2" t="s">
        <v>37</v>
      </c>
      <c r="C12" s="2" t="s">
        <v>16</v>
      </c>
      <c r="D12" s="2" t="s">
        <v>27</v>
      </c>
      <c r="E12" s="3">
        <v>29000000</v>
      </c>
      <c r="F12" s="2" t="s">
        <v>18</v>
      </c>
      <c r="G12" s="2" t="s">
        <v>24</v>
      </c>
    </row>
    <row r="13" spans="1:7">
      <c r="A13" s="2" t="s">
        <v>38</v>
      </c>
      <c r="B13" s="2" t="s">
        <v>39</v>
      </c>
      <c r="C13" s="2" t="s">
        <v>21</v>
      </c>
      <c r="D13" s="2" t="s">
        <v>12</v>
      </c>
      <c r="E13" s="3">
        <v>14000000</v>
      </c>
      <c r="F13" s="2" t="s">
        <v>23</v>
      </c>
      <c r="G13" s="2" t="s">
        <v>9</v>
      </c>
    </row>
    <row r="14" spans="1:7">
      <c r="A14" s="2" t="s">
        <v>40</v>
      </c>
      <c r="B14" s="2" t="s">
        <v>41</v>
      </c>
      <c r="C14" s="2" t="s">
        <v>26</v>
      </c>
      <c r="D14" s="2" t="s">
        <v>17</v>
      </c>
      <c r="E14" s="3">
        <v>9000000</v>
      </c>
      <c r="F14" s="2" t="s">
        <v>13</v>
      </c>
      <c r="G14" s="2" t="s">
        <v>14</v>
      </c>
    </row>
    <row r="15" spans="1:7">
      <c r="A15" s="2" t="s">
        <v>42</v>
      </c>
      <c r="B15" s="2" t="s">
        <v>43</v>
      </c>
      <c r="C15" s="2" t="s">
        <v>30</v>
      </c>
      <c r="D15" s="2" t="s">
        <v>22</v>
      </c>
      <c r="E15" s="3">
        <v>27500000</v>
      </c>
      <c r="F15" s="2" t="s">
        <v>18</v>
      </c>
      <c r="G15" s="2" t="s">
        <v>19</v>
      </c>
    </row>
    <row r="16" spans="1:7">
      <c r="A16" s="2" t="s">
        <v>44</v>
      </c>
      <c r="B16" s="2" t="s">
        <v>45</v>
      </c>
      <c r="C16" s="2" t="s">
        <v>33</v>
      </c>
      <c r="D16" s="2" t="s">
        <v>27</v>
      </c>
      <c r="E16" s="3">
        <v>12000000</v>
      </c>
      <c r="F16" s="2" t="s">
        <v>23</v>
      </c>
      <c r="G16" s="2" t="s">
        <v>24</v>
      </c>
    </row>
    <row r="17" spans="1:7">
      <c r="A17" s="2" t="s">
        <v>46</v>
      </c>
      <c r="B17" s="2" t="s">
        <v>47</v>
      </c>
      <c r="C17" s="2" t="s">
        <v>11</v>
      </c>
      <c r="D17" s="2" t="s">
        <v>12</v>
      </c>
      <c r="E17" s="3">
        <v>32000000</v>
      </c>
      <c r="F17" s="2" t="s">
        <v>13</v>
      </c>
      <c r="G17" s="2" t="s">
        <v>9</v>
      </c>
    </row>
    <row r="18" spans="1:7">
      <c r="A18" s="2" t="s">
        <v>48</v>
      </c>
      <c r="B18" s="2" t="s">
        <v>49</v>
      </c>
      <c r="C18" s="2" t="s">
        <v>16</v>
      </c>
      <c r="D18" s="2" t="s">
        <v>17</v>
      </c>
      <c r="E18" s="3">
        <v>28500000</v>
      </c>
      <c r="F18" s="2" t="s">
        <v>18</v>
      </c>
      <c r="G18" s="2" t="s">
        <v>14</v>
      </c>
    </row>
    <row r="19" spans="1:7">
      <c r="A19" s="2" t="s">
        <v>50</v>
      </c>
      <c r="B19" s="2" t="s">
        <v>51</v>
      </c>
      <c r="C19" s="2" t="s">
        <v>21</v>
      </c>
      <c r="D19" s="2" t="s">
        <v>22</v>
      </c>
      <c r="E19" s="3">
        <v>15500000</v>
      </c>
      <c r="F19" s="2" t="s">
        <v>23</v>
      </c>
      <c r="G19" s="2" t="s">
        <v>19</v>
      </c>
    </row>
    <row r="20" spans="1:7">
      <c r="A20" s="2" t="s">
        <v>52</v>
      </c>
      <c r="B20" s="2" t="s">
        <v>53</v>
      </c>
      <c r="C20" s="2" t="s">
        <v>26</v>
      </c>
      <c r="D20" s="2" t="s">
        <v>27</v>
      </c>
      <c r="E20" s="3">
        <v>10000000</v>
      </c>
      <c r="F20" s="2" t="s">
        <v>13</v>
      </c>
      <c r="G20" s="2" t="s">
        <v>24</v>
      </c>
    </row>
    <row r="21" spans="1:7">
      <c r="A21" s="2" t="s">
        <v>54</v>
      </c>
      <c r="B21" s="2" t="s">
        <v>55</v>
      </c>
      <c r="C21" s="2" t="s">
        <v>30</v>
      </c>
      <c r="D21" s="2" t="s">
        <v>12</v>
      </c>
      <c r="E21" s="3">
        <v>12500000</v>
      </c>
      <c r="F21" s="2" t="s">
        <v>18</v>
      </c>
      <c r="G21" s="2" t="s">
        <v>9</v>
      </c>
    </row>
    <row r="22" spans="1:7">
      <c r="A22" s="2" t="s">
        <v>56</v>
      </c>
      <c r="B22" s="2" t="s">
        <v>57</v>
      </c>
      <c r="C22" s="2" t="s">
        <v>33</v>
      </c>
      <c r="D22" s="2" t="s">
        <v>17</v>
      </c>
      <c r="E22" s="3">
        <v>9500000</v>
      </c>
      <c r="F22" s="2" t="s">
        <v>23</v>
      </c>
      <c r="G22" s="2" t="s">
        <v>14</v>
      </c>
    </row>
    <row r="23" spans="1:7">
      <c r="A23" s="2" t="s">
        <v>58</v>
      </c>
      <c r="B23" s="2" t="s">
        <v>59</v>
      </c>
      <c r="C23" s="2" t="s">
        <v>11</v>
      </c>
      <c r="D23" s="2" t="s">
        <v>22</v>
      </c>
      <c r="E23" s="3">
        <v>29500000</v>
      </c>
      <c r="F23" s="2" t="s">
        <v>13</v>
      </c>
      <c r="G23" s="2" t="s">
        <v>19</v>
      </c>
    </row>
    <row r="24" spans="1:7">
      <c r="A24" s="2" t="s">
        <v>60</v>
      </c>
      <c r="B24" s="2" t="s">
        <v>61</v>
      </c>
      <c r="C24" s="2" t="s">
        <v>16</v>
      </c>
      <c r="D24" s="2" t="s">
        <v>27</v>
      </c>
      <c r="E24" s="3">
        <v>7000000</v>
      </c>
      <c r="F24" s="2" t="s">
        <v>18</v>
      </c>
      <c r="G24" s="2" t="s">
        <v>24</v>
      </c>
    </row>
    <row r="25" spans="1:7">
      <c r="A25" s="2" t="s">
        <v>62</v>
      </c>
      <c r="B25" s="2" t="s">
        <v>63</v>
      </c>
      <c r="C25" s="2" t="s">
        <v>21</v>
      </c>
      <c r="D25" s="2" t="s">
        <v>12</v>
      </c>
      <c r="E25" s="3">
        <v>25000000</v>
      </c>
      <c r="F25" s="2" t="s">
        <v>23</v>
      </c>
      <c r="G25" s="2" t="s">
        <v>9</v>
      </c>
    </row>
    <row r="26" spans="1:7">
      <c r="A26" s="2" t="s">
        <v>64</v>
      </c>
      <c r="B26" s="2" t="s">
        <v>65</v>
      </c>
      <c r="C26" s="2" t="s">
        <v>26</v>
      </c>
      <c r="D26" s="2" t="s">
        <v>17</v>
      </c>
      <c r="E26" s="3">
        <v>28500000</v>
      </c>
      <c r="F26" s="2" t="s">
        <v>13</v>
      </c>
      <c r="G26" s="2" t="s">
        <v>14</v>
      </c>
    </row>
    <row r="27" spans="1:7">
      <c r="A27" s="2" t="s">
        <v>66</v>
      </c>
      <c r="B27" s="2" t="s">
        <v>67</v>
      </c>
      <c r="C27" s="2" t="s">
        <v>30</v>
      </c>
      <c r="D27" s="2" t="s">
        <v>22</v>
      </c>
      <c r="E27" s="3">
        <v>11500000</v>
      </c>
      <c r="F27" s="2" t="s">
        <v>18</v>
      </c>
      <c r="G27" s="2" t="s">
        <v>19</v>
      </c>
    </row>
    <row r="28" spans="1:7">
      <c r="A28" s="2" t="s">
        <v>68</v>
      </c>
      <c r="B28" s="2" t="s">
        <v>69</v>
      </c>
      <c r="C28" s="2" t="s">
        <v>33</v>
      </c>
      <c r="D28" s="2" t="s">
        <v>27</v>
      </c>
      <c r="E28" s="3">
        <v>5500000</v>
      </c>
      <c r="F28" s="2" t="s">
        <v>23</v>
      </c>
      <c r="G28" s="2" t="s">
        <v>24</v>
      </c>
    </row>
    <row r="29" spans="1:7">
      <c r="A29" s="2" t="s">
        <v>70</v>
      </c>
      <c r="B29" s="2" t="s">
        <v>71</v>
      </c>
      <c r="C29" s="2" t="s">
        <v>11</v>
      </c>
      <c r="D29" s="2" t="s">
        <v>12</v>
      </c>
      <c r="E29" s="3">
        <v>15500000</v>
      </c>
      <c r="F29" s="2" t="s">
        <v>13</v>
      </c>
      <c r="G29" s="2" t="s">
        <v>9</v>
      </c>
    </row>
    <row r="30" spans="1:7">
      <c r="A30" s="2" t="s">
        <v>72</v>
      </c>
      <c r="B30" s="2" t="s">
        <v>73</v>
      </c>
      <c r="C30" s="2" t="s">
        <v>16</v>
      </c>
      <c r="D30" s="2" t="s">
        <v>17</v>
      </c>
      <c r="E30" s="3">
        <v>10000000</v>
      </c>
      <c r="F30" s="2" t="s">
        <v>18</v>
      </c>
      <c r="G30" s="2" t="s">
        <v>14</v>
      </c>
    </row>
    <row r="31" spans="1:7">
      <c r="A31" s="2" t="s">
        <v>74</v>
      </c>
      <c r="B31" s="2" t="s">
        <v>75</v>
      </c>
      <c r="C31" s="2" t="s">
        <v>21</v>
      </c>
      <c r="D31" s="2" t="s">
        <v>22</v>
      </c>
      <c r="E31" s="3">
        <v>24500000</v>
      </c>
      <c r="F31" s="2" t="s">
        <v>23</v>
      </c>
      <c r="G31" s="2" t="s">
        <v>19</v>
      </c>
    </row>
    <row r="32" spans="1:7">
      <c r="A32" s="2" t="s">
        <v>76</v>
      </c>
      <c r="B32" s="2" t="s">
        <v>77</v>
      </c>
      <c r="C32" s="2" t="s">
        <v>26</v>
      </c>
      <c r="D32" s="2" t="s">
        <v>27</v>
      </c>
      <c r="E32" s="3">
        <v>19000000</v>
      </c>
      <c r="F32" s="2" t="s">
        <v>13</v>
      </c>
      <c r="G32" s="2" t="s">
        <v>24</v>
      </c>
    </row>
    <row r="33" spans="1:7">
      <c r="A33" s="2" t="s">
        <v>78</v>
      </c>
      <c r="B33" s="2" t="s">
        <v>79</v>
      </c>
      <c r="C33" s="2" t="s">
        <v>30</v>
      </c>
      <c r="D33" s="2" t="s">
        <v>12</v>
      </c>
      <c r="E33" s="3">
        <v>28000000</v>
      </c>
      <c r="F33" s="2" t="s">
        <v>18</v>
      </c>
      <c r="G33" s="2" t="s">
        <v>9</v>
      </c>
    </row>
    <row r="34" spans="1:7">
      <c r="A34" s="2" t="s">
        <v>80</v>
      </c>
      <c r="B34" s="2" t="s">
        <v>81</v>
      </c>
      <c r="C34" s="2" t="s">
        <v>33</v>
      </c>
      <c r="D34" s="2" t="s">
        <v>17</v>
      </c>
      <c r="E34" s="3">
        <v>20000000</v>
      </c>
      <c r="F34" s="2" t="s">
        <v>23</v>
      </c>
      <c r="G34" s="2" t="s">
        <v>14</v>
      </c>
    </row>
    <row r="35" spans="1:7">
      <c r="A35" s="2" t="s">
        <v>82</v>
      </c>
      <c r="B35" s="2" t="s">
        <v>83</v>
      </c>
      <c r="C35" s="2" t="s">
        <v>11</v>
      </c>
      <c r="D35" s="2" t="s">
        <v>22</v>
      </c>
      <c r="E35" s="3">
        <v>10500000</v>
      </c>
      <c r="F35" s="2" t="s">
        <v>13</v>
      </c>
      <c r="G35" s="2" t="s">
        <v>19</v>
      </c>
    </row>
    <row r="36" spans="1:7">
      <c r="A36" s="2" t="s">
        <v>84</v>
      </c>
      <c r="B36" s="2" t="s">
        <v>85</v>
      </c>
      <c r="C36" s="2" t="s">
        <v>16</v>
      </c>
      <c r="D36" s="2" t="s">
        <v>27</v>
      </c>
      <c r="E36" s="3">
        <v>24000000</v>
      </c>
      <c r="F36" s="2" t="s">
        <v>18</v>
      </c>
      <c r="G36" s="2" t="s">
        <v>24</v>
      </c>
    </row>
  </sheetData>
  <mergeCells count="2">
    <mergeCell ref="A2:G2"/>
    <mergeCell ref="A1:G1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6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13" customWidth="1"/>
    <col min="2" max="2" width="12" customWidth="1"/>
    <col min="3" max="3" width="32" customWidth="1"/>
    <col min="4" max="5" width="15" customWidth="1"/>
    <col min="6" max="6" width="21" customWidth="1"/>
    <col min="7" max="7" width="20" customWidth="1"/>
    <col min="8" max="8" width="15" customWidth="1"/>
    <col min="9" max="10" width="12" customWidth="1"/>
  </cols>
  <sheetData>
    <row r="1" spans="1:10" ht="27.95" customHeight="1">
      <c r="A1" s="6" t="s">
        <v>86</v>
      </c>
      <c r="B1" s="42"/>
      <c r="C1" s="42"/>
      <c r="D1" s="42"/>
      <c r="E1" s="42"/>
      <c r="F1" s="42"/>
      <c r="G1" s="42"/>
      <c r="H1" s="42"/>
      <c r="I1" s="42"/>
      <c r="J1" s="42"/>
    </row>
    <row r="2" spans="1:10">
      <c r="A2" s="5" t="s">
        <v>87</v>
      </c>
      <c r="B2" s="42"/>
      <c r="C2" s="42"/>
      <c r="D2" s="42"/>
      <c r="E2" s="42"/>
      <c r="F2" s="42"/>
      <c r="G2" s="42"/>
      <c r="H2" s="42"/>
      <c r="I2" s="42"/>
      <c r="J2" s="42"/>
    </row>
    <row r="4" spans="1:10">
      <c r="A4" s="1" t="s">
        <v>88</v>
      </c>
      <c r="B4" s="1" t="s">
        <v>2</v>
      </c>
      <c r="C4" s="1" t="s">
        <v>3</v>
      </c>
      <c r="D4" s="1" t="s">
        <v>89</v>
      </c>
      <c r="E4" s="1" t="s">
        <v>90</v>
      </c>
      <c r="F4" s="1" t="s">
        <v>91</v>
      </c>
      <c r="G4" s="1" t="s">
        <v>92</v>
      </c>
      <c r="H4" s="1" t="s">
        <v>93</v>
      </c>
      <c r="I4" s="1" t="s">
        <v>94</v>
      </c>
      <c r="J4" s="1" t="s">
        <v>95</v>
      </c>
    </row>
    <row r="5" spans="1:10">
      <c r="A5" s="4">
        <v>46050</v>
      </c>
      <c r="B5" s="2" t="s">
        <v>9</v>
      </c>
      <c r="C5" s="2" t="s">
        <v>10</v>
      </c>
      <c r="D5" s="3">
        <v>6000000</v>
      </c>
      <c r="E5" s="3">
        <v>1774157</v>
      </c>
      <c r="F5" s="3">
        <v>0.15443910361022969</v>
      </c>
      <c r="G5" s="3">
        <v>0.13546093590109709</v>
      </c>
      <c r="H5" s="3">
        <v>2</v>
      </c>
      <c r="I5" s="3">
        <v>4</v>
      </c>
      <c r="J5" s="3">
        <v>1.1418060338587921</v>
      </c>
    </row>
    <row r="6" spans="1:10">
      <c r="A6" s="4">
        <v>46081</v>
      </c>
      <c r="B6" s="2" t="s">
        <v>9</v>
      </c>
      <c r="C6" s="2" t="s">
        <v>10</v>
      </c>
      <c r="D6" s="3">
        <v>6000000</v>
      </c>
      <c r="E6" s="3">
        <v>2994850</v>
      </c>
      <c r="F6" s="3">
        <v>0.33085380869808262</v>
      </c>
      <c r="G6" s="3">
        <v>0.30597083849759632</v>
      </c>
      <c r="H6" s="3">
        <v>2</v>
      </c>
      <c r="I6" s="3">
        <v>2</v>
      </c>
      <c r="J6" s="3">
        <v>0.95502361562749138</v>
      </c>
    </row>
    <row r="7" spans="1:10">
      <c r="A7" s="4">
        <v>46109</v>
      </c>
      <c r="B7" s="2" t="s">
        <v>9</v>
      </c>
      <c r="C7" s="2" t="s">
        <v>10</v>
      </c>
      <c r="D7" s="3">
        <v>6000000</v>
      </c>
      <c r="E7" s="3">
        <v>3689193</v>
      </c>
      <c r="F7" s="3">
        <v>0.44225728418102073</v>
      </c>
      <c r="G7" s="3">
        <v>0.31948040271983358</v>
      </c>
      <c r="H7" s="3">
        <v>11</v>
      </c>
      <c r="I7" s="3">
        <v>6</v>
      </c>
      <c r="J7" s="3">
        <v>1.1109286060288359</v>
      </c>
    </row>
    <row r="8" spans="1:10">
      <c r="A8" s="4">
        <v>46140</v>
      </c>
      <c r="B8" s="2" t="s">
        <v>9</v>
      </c>
      <c r="C8" s="2" t="s">
        <v>10</v>
      </c>
      <c r="D8" s="3">
        <v>6000000</v>
      </c>
      <c r="E8" s="3">
        <v>4921380</v>
      </c>
      <c r="F8" s="3">
        <v>0.68907267477778789</v>
      </c>
      <c r="G8" s="3">
        <v>0.55941275695339976</v>
      </c>
      <c r="H8" s="3">
        <v>12</v>
      </c>
      <c r="I8" s="3">
        <v>5</v>
      </c>
      <c r="J8" s="3">
        <v>0.98135532069198295</v>
      </c>
    </row>
    <row r="9" spans="1:10">
      <c r="A9" s="4">
        <v>46170</v>
      </c>
      <c r="B9" s="2" t="s">
        <v>9</v>
      </c>
      <c r="C9" s="2" t="s">
        <v>10</v>
      </c>
      <c r="D9" s="3">
        <v>6000000</v>
      </c>
      <c r="E9" s="3">
        <v>5920789</v>
      </c>
      <c r="F9" s="3">
        <v>0.82681053317910536</v>
      </c>
      <c r="G9" s="3">
        <v>0.68058179341054736</v>
      </c>
      <c r="H9" s="3">
        <v>13</v>
      </c>
      <c r="I9" s="3">
        <v>6</v>
      </c>
      <c r="J9" s="3">
        <v>1.153654412142838</v>
      </c>
    </row>
    <row r="10" spans="1:10">
      <c r="A10" s="4">
        <v>46201</v>
      </c>
      <c r="B10" s="2" t="s">
        <v>9</v>
      </c>
      <c r="C10" s="2" t="s">
        <v>10</v>
      </c>
      <c r="D10" s="3">
        <v>6000000</v>
      </c>
      <c r="E10" s="3">
        <v>6162679</v>
      </c>
      <c r="F10" s="3">
        <v>1</v>
      </c>
      <c r="G10" s="3">
        <v>0.84405583942513551</v>
      </c>
      <c r="H10" s="3">
        <v>14</v>
      </c>
      <c r="I10" s="3">
        <v>5</v>
      </c>
      <c r="J10" s="3">
        <v>1.187535073660136</v>
      </c>
    </row>
    <row r="11" spans="1:10">
      <c r="A11" s="4">
        <v>46050</v>
      </c>
      <c r="B11" s="2" t="s">
        <v>14</v>
      </c>
      <c r="C11" s="2" t="s">
        <v>15</v>
      </c>
      <c r="D11" s="3">
        <v>28000000</v>
      </c>
      <c r="E11" s="3">
        <v>8477420</v>
      </c>
      <c r="F11" s="3">
        <v>0.17163261155619311</v>
      </c>
      <c r="G11" s="3">
        <v>0.17163261155619311</v>
      </c>
      <c r="H11" s="3">
        <v>0</v>
      </c>
      <c r="I11" s="3">
        <v>2</v>
      </c>
      <c r="J11" s="3">
        <v>0.98253480242011892</v>
      </c>
    </row>
    <row r="12" spans="1:10">
      <c r="A12" s="4">
        <v>46081</v>
      </c>
      <c r="B12" s="2" t="s">
        <v>14</v>
      </c>
      <c r="C12" s="2" t="s">
        <v>15</v>
      </c>
      <c r="D12" s="3">
        <v>28000000</v>
      </c>
      <c r="E12" s="3">
        <v>12387342</v>
      </c>
      <c r="F12" s="3">
        <v>0.30801679246295011</v>
      </c>
      <c r="G12" s="3">
        <v>0.30801679246295011</v>
      </c>
      <c r="H12" s="3">
        <v>0</v>
      </c>
      <c r="I12" s="3">
        <v>2</v>
      </c>
      <c r="J12" s="3">
        <v>1.0815789147708521</v>
      </c>
    </row>
    <row r="13" spans="1:10">
      <c r="A13" s="4">
        <v>46109</v>
      </c>
      <c r="B13" s="2" t="s">
        <v>14</v>
      </c>
      <c r="C13" s="2" t="s">
        <v>15</v>
      </c>
      <c r="D13" s="3">
        <v>28000000</v>
      </c>
      <c r="E13" s="3">
        <v>17066346</v>
      </c>
      <c r="F13" s="3">
        <v>0.46002925985331999</v>
      </c>
      <c r="G13" s="3">
        <v>0.33018337735851683</v>
      </c>
      <c r="H13" s="3">
        <v>12</v>
      </c>
      <c r="I13" s="3">
        <v>2</v>
      </c>
      <c r="J13" s="3">
        <v>1.0991522247979151</v>
      </c>
    </row>
    <row r="14" spans="1:10">
      <c r="A14" s="4">
        <v>46140</v>
      </c>
      <c r="B14" s="2" t="s">
        <v>14</v>
      </c>
      <c r="C14" s="2" t="s">
        <v>15</v>
      </c>
      <c r="D14" s="3">
        <v>28000000</v>
      </c>
      <c r="E14" s="3">
        <v>21660032</v>
      </c>
      <c r="F14" s="3">
        <v>0.68381448164180703</v>
      </c>
      <c r="G14" s="3">
        <v>0.52792858989884495</v>
      </c>
      <c r="H14" s="3">
        <v>14</v>
      </c>
      <c r="I14" s="3">
        <v>2</v>
      </c>
      <c r="J14" s="3">
        <v>1.0983582106975209</v>
      </c>
    </row>
    <row r="15" spans="1:10">
      <c r="A15" s="4">
        <v>46170</v>
      </c>
      <c r="B15" s="2" t="s">
        <v>14</v>
      </c>
      <c r="C15" s="2" t="s">
        <v>15</v>
      </c>
      <c r="D15" s="3">
        <v>28000000</v>
      </c>
      <c r="E15" s="3">
        <v>29082436</v>
      </c>
      <c r="F15" s="3">
        <v>0.81453040630547269</v>
      </c>
      <c r="G15" s="3">
        <v>0.66999242359441746</v>
      </c>
      <c r="H15" s="3">
        <v>13</v>
      </c>
      <c r="I15" s="3">
        <v>2</v>
      </c>
      <c r="J15" s="3">
        <v>1.149291541130397</v>
      </c>
    </row>
    <row r="16" spans="1:10">
      <c r="A16" s="4">
        <v>46201</v>
      </c>
      <c r="B16" s="2" t="s">
        <v>14</v>
      </c>
      <c r="C16" s="2" t="s">
        <v>15</v>
      </c>
      <c r="D16" s="3">
        <v>28000000</v>
      </c>
      <c r="E16" s="3">
        <v>34809983</v>
      </c>
      <c r="F16" s="3">
        <v>1</v>
      </c>
      <c r="G16" s="3">
        <v>0.82653703212265861</v>
      </c>
      <c r="H16" s="3">
        <v>16</v>
      </c>
      <c r="I16" s="3">
        <v>4</v>
      </c>
      <c r="J16" s="3">
        <v>1.178380179429749</v>
      </c>
    </row>
    <row r="17" spans="1:10">
      <c r="A17" s="4">
        <v>46050</v>
      </c>
      <c r="B17" s="2" t="s">
        <v>19</v>
      </c>
      <c r="C17" s="2" t="s">
        <v>20</v>
      </c>
      <c r="D17" s="3">
        <v>27000000</v>
      </c>
      <c r="E17" s="3">
        <v>4438696</v>
      </c>
      <c r="F17" s="3">
        <v>0.1622624226418099</v>
      </c>
      <c r="G17" s="3">
        <v>0.1430192548327564</v>
      </c>
      <c r="H17" s="3">
        <v>2</v>
      </c>
      <c r="I17" s="3">
        <v>2</v>
      </c>
      <c r="J17" s="3">
        <v>0.99876319245496947</v>
      </c>
    </row>
    <row r="18" spans="1:10">
      <c r="A18" s="4">
        <v>46081</v>
      </c>
      <c r="B18" s="2" t="s">
        <v>19</v>
      </c>
      <c r="C18" s="2" t="s">
        <v>20</v>
      </c>
      <c r="D18" s="3">
        <v>27000000</v>
      </c>
      <c r="E18" s="3">
        <v>9471702</v>
      </c>
      <c r="F18" s="3">
        <v>0.31609715524584159</v>
      </c>
      <c r="G18" s="3">
        <v>0.28604170433065917</v>
      </c>
      <c r="H18" s="3">
        <v>3</v>
      </c>
      <c r="I18" s="3">
        <v>0</v>
      </c>
      <c r="J18" s="3">
        <v>1.032119976425377</v>
      </c>
    </row>
    <row r="19" spans="1:10">
      <c r="A19" s="4">
        <v>46109</v>
      </c>
      <c r="B19" s="2" t="s">
        <v>19</v>
      </c>
      <c r="C19" s="2" t="s">
        <v>20</v>
      </c>
      <c r="D19" s="3">
        <v>27000000</v>
      </c>
      <c r="E19" s="3">
        <v>12953285</v>
      </c>
      <c r="F19" s="3">
        <v>0.52045386512904335</v>
      </c>
      <c r="G19" s="3">
        <v>0.3588451950578499</v>
      </c>
      <c r="H19" s="3">
        <v>15</v>
      </c>
      <c r="I19" s="3">
        <v>3</v>
      </c>
      <c r="J19" s="3">
        <v>1.11721600190606</v>
      </c>
    </row>
    <row r="20" spans="1:10">
      <c r="A20" s="4">
        <v>46140</v>
      </c>
      <c r="B20" s="2" t="s">
        <v>19</v>
      </c>
      <c r="C20" s="2" t="s">
        <v>20</v>
      </c>
      <c r="D20" s="3">
        <v>27000000</v>
      </c>
      <c r="E20" s="3">
        <v>19763578</v>
      </c>
      <c r="F20" s="3">
        <v>0.6785168731768243</v>
      </c>
      <c r="G20" s="3">
        <v>0.53749597254625103</v>
      </c>
      <c r="H20" s="3">
        <v>13</v>
      </c>
      <c r="I20" s="3">
        <v>2</v>
      </c>
      <c r="J20" s="3">
        <v>1.0991540283496739</v>
      </c>
    </row>
    <row r="21" spans="1:10">
      <c r="A21" s="4">
        <v>46170</v>
      </c>
      <c r="B21" s="2" t="s">
        <v>19</v>
      </c>
      <c r="C21" s="2" t="s">
        <v>20</v>
      </c>
      <c r="D21" s="3">
        <v>27000000</v>
      </c>
      <c r="E21" s="3">
        <v>20892443</v>
      </c>
      <c r="F21" s="3">
        <v>0.87224291240195984</v>
      </c>
      <c r="G21" s="3">
        <v>0.74709063315259983</v>
      </c>
      <c r="H21" s="3">
        <v>11</v>
      </c>
      <c r="I21" s="3">
        <v>4</v>
      </c>
      <c r="J21" s="3">
        <v>1.1617785635830891</v>
      </c>
    </row>
    <row r="22" spans="1:10">
      <c r="A22" s="4">
        <v>46201</v>
      </c>
      <c r="B22" s="2" t="s">
        <v>19</v>
      </c>
      <c r="C22" s="2" t="s">
        <v>20</v>
      </c>
      <c r="D22" s="3">
        <v>27000000</v>
      </c>
      <c r="E22" s="3">
        <v>21208250</v>
      </c>
      <c r="F22" s="3">
        <v>0.89077230728463808</v>
      </c>
      <c r="G22" s="3">
        <v>0.7669958298514018</v>
      </c>
      <c r="H22" s="3">
        <v>11</v>
      </c>
      <c r="I22" s="3">
        <v>3</v>
      </c>
      <c r="J22" s="3">
        <v>1.1206462933262771</v>
      </c>
    </row>
    <row r="23" spans="1:10">
      <c r="A23" s="4">
        <v>46050</v>
      </c>
      <c r="B23" s="2" t="s">
        <v>24</v>
      </c>
      <c r="C23" s="2" t="s">
        <v>25</v>
      </c>
      <c r="D23" s="3">
        <v>19000000</v>
      </c>
      <c r="E23" s="3">
        <v>3659170</v>
      </c>
      <c r="F23" s="3">
        <v>0.1773375747336951</v>
      </c>
      <c r="G23" s="3">
        <v>0.1773375747336951</v>
      </c>
      <c r="H23" s="3">
        <v>0</v>
      </c>
      <c r="I23" s="3">
        <v>1</v>
      </c>
      <c r="J23" s="3">
        <v>0.9289410222630371</v>
      </c>
    </row>
    <row r="24" spans="1:10">
      <c r="A24" s="4">
        <v>46081</v>
      </c>
      <c r="B24" s="2" t="s">
        <v>24</v>
      </c>
      <c r="C24" s="2" t="s">
        <v>25</v>
      </c>
      <c r="D24" s="3">
        <v>19000000</v>
      </c>
      <c r="E24" s="3">
        <v>6438835</v>
      </c>
      <c r="F24" s="3">
        <v>0.30274789611285241</v>
      </c>
      <c r="G24" s="3">
        <v>0.28119869330229108</v>
      </c>
      <c r="H24" s="3">
        <v>2</v>
      </c>
      <c r="I24" s="3">
        <v>1</v>
      </c>
      <c r="J24" s="3">
        <v>0.88493426939507092</v>
      </c>
    </row>
    <row r="25" spans="1:10">
      <c r="A25" s="4">
        <v>46109</v>
      </c>
      <c r="B25" s="2" t="s">
        <v>24</v>
      </c>
      <c r="C25" s="2" t="s">
        <v>25</v>
      </c>
      <c r="D25" s="3">
        <v>19000000</v>
      </c>
      <c r="E25" s="3">
        <v>7878257</v>
      </c>
      <c r="F25" s="3">
        <v>0.43712607655304869</v>
      </c>
      <c r="G25" s="3">
        <v>0.43712607655304869</v>
      </c>
      <c r="H25" s="3">
        <v>0</v>
      </c>
      <c r="I25" s="3">
        <v>2</v>
      </c>
      <c r="J25" s="3">
        <v>0.93630647215029605</v>
      </c>
    </row>
    <row r="26" spans="1:10">
      <c r="A26" s="4">
        <v>46140</v>
      </c>
      <c r="B26" s="2" t="s">
        <v>24</v>
      </c>
      <c r="C26" s="2" t="s">
        <v>25</v>
      </c>
      <c r="D26" s="3">
        <v>19000000</v>
      </c>
      <c r="E26" s="3">
        <v>10625051</v>
      </c>
      <c r="F26" s="3">
        <v>0.59195585400884554</v>
      </c>
      <c r="G26" s="3">
        <v>0.59195585400884554</v>
      </c>
      <c r="H26" s="3">
        <v>0</v>
      </c>
      <c r="I26" s="3">
        <v>2</v>
      </c>
      <c r="J26" s="3">
        <v>0.95765950721675153</v>
      </c>
    </row>
    <row r="27" spans="1:10">
      <c r="A27" s="4">
        <v>46170</v>
      </c>
      <c r="B27" s="2" t="s">
        <v>24</v>
      </c>
      <c r="C27" s="2" t="s">
        <v>25</v>
      </c>
      <c r="D27" s="3">
        <v>19000000</v>
      </c>
      <c r="E27" s="3">
        <v>16373783</v>
      </c>
      <c r="F27" s="3">
        <v>0.7851261067571077</v>
      </c>
      <c r="G27" s="3">
        <v>0.76296732500477227</v>
      </c>
      <c r="H27" s="3">
        <v>2</v>
      </c>
      <c r="I27" s="3">
        <v>2</v>
      </c>
      <c r="J27" s="3">
        <v>0.72612893847925974</v>
      </c>
    </row>
    <row r="28" spans="1:10">
      <c r="A28" s="4">
        <v>46201</v>
      </c>
      <c r="B28" s="2" t="s">
        <v>24</v>
      </c>
      <c r="C28" s="2" t="s">
        <v>25</v>
      </c>
      <c r="D28" s="3">
        <v>19000000</v>
      </c>
      <c r="E28" s="3">
        <v>18234158</v>
      </c>
      <c r="F28" s="3">
        <v>0.99191768558302118</v>
      </c>
      <c r="G28" s="3">
        <v>0.96610953977315883</v>
      </c>
      <c r="H28" s="3">
        <v>2</v>
      </c>
      <c r="I28" s="3">
        <v>0</v>
      </c>
      <c r="J28" s="3">
        <v>0.72518157993924626</v>
      </c>
    </row>
    <row r="29" spans="1:10">
      <c r="A29" s="4">
        <v>46050</v>
      </c>
      <c r="B29" s="2" t="s">
        <v>28</v>
      </c>
      <c r="C29" s="2" t="s">
        <v>29</v>
      </c>
      <c r="D29" s="3">
        <v>16000000</v>
      </c>
      <c r="E29" s="3">
        <v>2811536</v>
      </c>
      <c r="F29" s="3">
        <v>0.17749853048980199</v>
      </c>
      <c r="G29" s="3">
        <v>0.17749853048980199</v>
      </c>
      <c r="H29" s="3">
        <v>0</v>
      </c>
      <c r="I29" s="3">
        <v>2</v>
      </c>
      <c r="J29" s="3">
        <v>0.87172412187855874</v>
      </c>
    </row>
    <row r="30" spans="1:10">
      <c r="A30" s="4">
        <v>46081</v>
      </c>
      <c r="B30" s="2" t="s">
        <v>28</v>
      </c>
      <c r="C30" s="2" t="s">
        <v>29</v>
      </c>
      <c r="D30" s="3">
        <v>16000000</v>
      </c>
      <c r="E30" s="3">
        <v>6381128</v>
      </c>
      <c r="F30" s="3">
        <v>0.35757140967565232</v>
      </c>
      <c r="G30" s="3">
        <v>0.3467261613757594</v>
      </c>
      <c r="H30" s="3">
        <v>1</v>
      </c>
      <c r="I30" s="3">
        <v>0</v>
      </c>
      <c r="J30" s="3">
        <v>0.75979130179597421</v>
      </c>
    </row>
    <row r="31" spans="1:10">
      <c r="A31" s="4">
        <v>46109</v>
      </c>
      <c r="B31" s="2" t="s">
        <v>28</v>
      </c>
      <c r="C31" s="2" t="s">
        <v>29</v>
      </c>
      <c r="D31" s="3">
        <v>16000000</v>
      </c>
      <c r="E31" s="3">
        <v>8889895</v>
      </c>
      <c r="F31" s="3">
        <v>0.507553039753182</v>
      </c>
      <c r="G31" s="3">
        <v>0.507553039753182</v>
      </c>
      <c r="H31" s="3">
        <v>0</v>
      </c>
      <c r="I31" s="3">
        <v>2</v>
      </c>
      <c r="J31" s="3">
        <v>0.94833948467417895</v>
      </c>
    </row>
    <row r="32" spans="1:10">
      <c r="A32" s="4">
        <v>46140</v>
      </c>
      <c r="B32" s="2" t="s">
        <v>28</v>
      </c>
      <c r="C32" s="2" t="s">
        <v>29</v>
      </c>
      <c r="D32" s="3">
        <v>16000000</v>
      </c>
      <c r="E32" s="3">
        <v>9623005</v>
      </c>
      <c r="F32" s="3">
        <v>0.63003482400240696</v>
      </c>
      <c r="G32" s="3">
        <v>0.63003482400240696</v>
      </c>
      <c r="H32" s="3">
        <v>0</v>
      </c>
      <c r="I32" s="3">
        <v>1</v>
      </c>
      <c r="J32" s="3">
        <v>0.82097991058762465</v>
      </c>
    </row>
    <row r="33" spans="1:10">
      <c r="A33" s="4">
        <v>46170</v>
      </c>
      <c r="B33" s="2" t="s">
        <v>28</v>
      </c>
      <c r="C33" s="2" t="s">
        <v>29</v>
      </c>
      <c r="D33" s="3">
        <v>16000000</v>
      </c>
      <c r="E33" s="3">
        <v>11566965</v>
      </c>
      <c r="F33" s="3">
        <v>0.7118359208312246</v>
      </c>
      <c r="G33" s="3">
        <v>0.7118359208312246</v>
      </c>
      <c r="H33" s="3">
        <v>0</v>
      </c>
      <c r="I33" s="3">
        <v>0</v>
      </c>
      <c r="J33" s="3">
        <v>0.86493093102833596</v>
      </c>
    </row>
    <row r="34" spans="1:10">
      <c r="A34" s="4">
        <v>46201</v>
      </c>
      <c r="B34" s="2" t="s">
        <v>28</v>
      </c>
      <c r="C34" s="2" t="s">
        <v>29</v>
      </c>
      <c r="D34" s="3">
        <v>16000000</v>
      </c>
      <c r="E34" s="3">
        <v>15078271</v>
      </c>
      <c r="F34" s="3">
        <v>1</v>
      </c>
      <c r="G34" s="3">
        <v>1</v>
      </c>
      <c r="H34" s="3">
        <v>0</v>
      </c>
      <c r="I34" s="3">
        <v>1</v>
      </c>
      <c r="J34" s="3">
        <v>0.82784141735530514</v>
      </c>
    </row>
    <row r="35" spans="1:10">
      <c r="A35" s="4">
        <v>46050</v>
      </c>
      <c r="B35" s="2" t="s">
        <v>31</v>
      </c>
      <c r="C35" s="2" t="s">
        <v>32</v>
      </c>
      <c r="D35" s="3">
        <v>16000000</v>
      </c>
      <c r="E35" s="3">
        <v>2494568</v>
      </c>
      <c r="F35" s="3">
        <v>0.14355143951899291</v>
      </c>
      <c r="G35" s="3">
        <v>0.1297533547111577</v>
      </c>
      <c r="H35" s="3">
        <v>1</v>
      </c>
      <c r="I35" s="3">
        <v>4</v>
      </c>
      <c r="J35" s="3">
        <v>0.77616503216524446</v>
      </c>
    </row>
    <row r="36" spans="1:10">
      <c r="A36" s="4">
        <v>46081</v>
      </c>
      <c r="B36" s="2" t="s">
        <v>31</v>
      </c>
      <c r="C36" s="2" t="s">
        <v>32</v>
      </c>
      <c r="D36" s="3">
        <v>16000000</v>
      </c>
      <c r="E36" s="3">
        <v>5271650</v>
      </c>
      <c r="F36" s="3">
        <v>0.31599706256846832</v>
      </c>
      <c r="G36" s="3">
        <v>0.30255622950957101</v>
      </c>
      <c r="H36" s="3">
        <v>1</v>
      </c>
      <c r="I36" s="3">
        <v>3</v>
      </c>
      <c r="J36" s="3">
        <v>0.87195853714288174</v>
      </c>
    </row>
    <row r="37" spans="1:10">
      <c r="A37" s="4">
        <v>46109</v>
      </c>
      <c r="B37" s="2" t="s">
        <v>31</v>
      </c>
      <c r="C37" s="2" t="s">
        <v>32</v>
      </c>
      <c r="D37" s="3">
        <v>16000000</v>
      </c>
      <c r="E37" s="3">
        <v>8424256</v>
      </c>
      <c r="F37" s="3">
        <v>0.53538729483730219</v>
      </c>
      <c r="G37" s="3">
        <v>0.53538729483730219</v>
      </c>
      <c r="H37" s="3">
        <v>0</v>
      </c>
      <c r="I37" s="3">
        <v>3</v>
      </c>
      <c r="J37" s="3">
        <v>0.93571502242960647</v>
      </c>
    </row>
    <row r="38" spans="1:10">
      <c r="A38" s="4">
        <v>46140</v>
      </c>
      <c r="B38" s="2" t="s">
        <v>31</v>
      </c>
      <c r="C38" s="2" t="s">
        <v>32</v>
      </c>
      <c r="D38" s="3">
        <v>16000000</v>
      </c>
      <c r="E38" s="3">
        <v>8417246</v>
      </c>
      <c r="F38" s="3">
        <v>0.59102040935013456</v>
      </c>
      <c r="G38" s="3">
        <v>0.59102040935013456</v>
      </c>
      <c r="H38" s="3">
        <v>0</v>
      </c>
      <c r="I38" s="3">
        <v>3</v>
      </c>
      <c r="J38" s="3">
        <v>0.83868625198634039</v>
      </c>
    </row>
    <row r="39" spans="1:10">
      <c r="A39" s="4">
        <v>46170</v>
      </c>
      <c r="B39" s="2" t="s">
        <v>31</v>
      </c>
      <c r="C39" s="2" t="s">
        <v>32</v>
      </c>
      <c r="D39" s="3">
        <v>16000000</v>
      </c>
      <c r="E39" s="3">
        <v>14177654</v>
      </c>
      <c r="F39" s="3">
        <v>0.8298950548768903</v>
      </c>
      <c r="G39" s="3">
        <v>0.8298950548768903</v>
      </c>
      <c r="H39" s="3">
        <v>0</v>
      </c>
      <c r="I39" s="3">
        <v>3</v>
      </c>
      <c r="J39" s="3">
        <v>0.88199562409397259</v>
      </c>
    </row>
    <row r="40" spans="1:10">
      <c r="A40" s="4">
        <v>46201</v>
      </c>
      <c r="B40" s="2" t="s">
        <v>31</v>
      </c>
      <c r="C40" s="2" t="s">
        <v>32</v>
      </c>
      <c r="D40" s="3">
        <v>16000000</v>
      </c>
      <c r="E40" s="3">
        <v>15219269</v>
      </c>
      <c r="F40" s="3">
        <v>0.9760264620150817</v>
      </c>
      <c r="G40" s="3">
        <v>0.96622960128506452</v>
      </c>
      <c r="H40" s="3">
        <v>1</v>
      </c>
      <c r="I40" s="3">
        <v>2</v>
      </c>
      <c r="J40" s="3">
        <v>0.91685449583962764</v>
      </c>
    </row>
    <row r="41" spans="1:10">
      <c r="A41" s="4">
        <v>46050</v>
      </c>
      <c r="B41" s="2" t="s">
        <v>34</v>
      </c>
      <c r="C41" s="2" t="s">
        <v>35</v>
      </c>
      <c r="D41" s="3">
        <v>32000000</v>
      </c>
      <c r="E41" s="3">
        <v>5654664</v>
      </c>
      <c r="F41" s="3">
        <v>0.17564936050638641</v>
      </c>
      <c r="G41" s="3">
        <v>0.16039144302311781</v>
      </c>
      <c r="H41" s="3">
        <v>1</v>
      </c>
      <c r="I41" s="3">
        <v>2</v>
      </c>
      <c r="J41" s="3">
        <v>0.74141999795382718</v>
      </c>
    </row>
    <row r="42" spans="1:10">
      <c r="A42" s="4">
        <v>46081</v>
      </c>
      <c r="B42" s="2" t="s">
        <v>34</v>
      </c>
      <c r="C42" s="2" t="s">
        <v>35</v>
      </c>
      <c r="D42" s="3">
        <v>32000000</v>
      </c>
      <c r="E42" s="3">
        <v>9605629</v>
      </c>
      <c r="F42" s="3">
        <v>0.3031984070952341</v>
      </c>
      <c r="G42" s="3">
        <v>0.3031984070952341</v>
      </c>
      <c r="H42" s="3">
        <v>0</v>
      </c>
      <c r="I42" s="3">
        <v>0</v>
      </c>
      <c r="J42" s="3">
        <v>0.81833008105859817</v>
      </c>
    </row>
    <row r="43" spans="1:10">
      <c r="A43" s="4">
        <v>46109</v>
      </c>
      <c r="B43" s="2" t="s">
        <v>34</v>
      </c>
      <c r="C43" s="2" t="s">
        <v>35</v>
      </c>
      <c r="D43" s="3">
        <v>32000000</v>
      </c>
      <c r="E43" s="3">
        <v>17572938</v>
      </c>
      <c r="F43" s="3">
        <v>0.50735775405275407</v>
      </c>
      <c r="G43" s="3">
        <v>0.50735775405275407</v>
      </c>
      <c r="H43" s="3">
        <v>0</v>
      </c>
      <c r="I43" s="3">
        <v>0</v>
      </c>
      <c r="J43" s="3">
        <v>0.7675104460632467</v>
      </c>
    </row>
    <row r="44" spans="1:10">
      <c r="A44" s="4">
        <v>46140</v>
      </c>
      <c r="B44" s="2" t="s">
        <v>34</v>
      </c>
      <c r="C44" s="2" t="s">
        <v>35</v>
      </c>
      <c r="D44" s="3">
        <v>32000000</v>
      </c>
      <c r="E44" s="3">
        <v>17661327</v>
      </c>
      <c r="F44" s="3">
        <v>0.62326886893993305</v>
      </c>
      <c r="G44" s="3">
        <v>0.61976970168983214</v>
      </c>
      <c r="H44" s="3">
        <v>0</v>
      </c>
      <c r="I44" s="3">
        <v>1</v>
      </c>
      <c r="J44" s="3">
        <v>0.90057416500132514</v>
      </c>
    </row>
    <row r="45" spans="1:10">
      <c r="A45" s="4">
        <v>46170</v>
      </c>
      <c r="B45" s="2" t="s">
        <v>34</v>
      </c>
      <c r="C45" s="2" t="s">
        <v>35</v>
      </c>
      <c r="D45" s="3">
        <v>32000000</v>
      </c>
      <c r="E45" s="3">
        <v>24439333</v>
      </c>
      <c r="F45" s="3">
        <v>0.86388011293345723</v>
      </c>
      <c r="G45" s="3">
        <v>0.86238626832448062</v>
      </c>
      <c r="H45" s="3">
        <v>0</v>
      </c>
      <c r="I45" s="3">
        <v>2</v>
      </c>
      <c r="J45" s="3">
        <v>0.78477581712176603</v>
      </c>
    </row>
    <row r="46" spans="1:10">
      <c r="A46" s="4">
        <v>46201</v>
      </c>
      <c r="B46" s="2" t="s">
        <v>34</v>
      </c>
      <c r="C46" s="2" t="s">
        <v>35</v>
      </c>
      <c r="D46" s="3">
        <v>32000000</v>
      </c>
      <c r="E46" s="3">
        <v>35475844</v>
      </c>
      <c r="F46" s="3">
        <v>1</v>
      </c>
      <c r="G46" s="3">
        <v>0.97742701068442761</v>
      </c>
      <c r="H46" s="3">
        <v>2</v>
      </c>
      <c r="I46" s="3">
        <v>0</v>
      </c>
      <c r="J46" s="3">
        <v>0.93229880796143449</v>
      </c>
    </row>
    <row r="47" spans="1:10">
      <c r="A47" s="4">
        <v>46050</v>
      </c>
      <c r="B47" s="2" t="s">
        <v>36</v>
      </c>
      <c r="C47" s="2" t="s">
        <v>37</v>
      </c>
      <c r="D47" s="3">
        <v>29000000</v>
      </c>
      <c r="E47" s="3">
        <v>4514346</v>
      </c>
      <c r="F47" s="3">
        <v>0.17501959002163689</v>
      </c>
      <c r="G47" s="3">
        <v>0.16300271150289891</v>
      </c>
      <c r="H47" s="3">
        <v>1</v>
      </c>
      <c r="I47" s="3">
        <v>0</v>
      </c>
      <c r="J47" s="3">
        <v>0.84908914879200226</v>
      </c>
    </row>
    <row r="48" spans="1:10">
      <c r="A48" s="4">
        <v>46081</v>
      </c>
      <c r="B48" s="2" t="s">
        <v>36</v>
      </c>
      <c r="C48" s="2" t="s">
        <v>37</v>
      </c>
      <c r="D48" s="3">
        <v>29000000</v>
      </c>
      <c r="E48" s="3">
        <v>10298661</v>
      </c>
      <c r="F48" s="3">
        <v>0.34278921743753699</v>
      </c>
      <c r="G48" s="3">
        <v>0.31199091016248631</v>
      </c>
      <c r="H48" s="3">
        <v>3</v>
      </c>
      <c r="I48" s="3">
        <v>1</v>
      </c>
      <c r="J48" s="3">
        <v>0.92762304517475425</v>
      </c>
    </row>
    <row r="49" spans="1:10">
      <c r="A49" s="4">
        <v>46109</v>
      </c>
      <c r="B49" s="2" t="s">
        <v>36</v>
      </c>
      <c r="C49" s="2" t="s">
        <v>37</v>
      </c>
      <c r="D49" s="3">
        <v>29000000</v>
      </c>
      <c r="E49" s="3">
        <v>11640348</v>
      </c>
      <c r="F49" s="3">
        <v>0.45557075457729829</v>
      </c>
      <c r="G49" s="3">
        <v>0.45557075457729829</v>
      </c>
      <c r="H49" s="3">
        <v>0</v>
      </c>
      <c r="I49" s="3">
        <v>2</v>
      </c>
      <c r="J49" s="3">
        <v>0.94944704491498988</v>
      </c>
    </row>
    <row r="50" spans="1:10">
      <c r="A50" s="4">
        <v>46140</v>
      </c>
      <c r="B50" s="2" t="s">
        <v>36</v>
      </c>
      <c r="C50" s="2" t="s">
        <v>37</v>
      </c>
      <c r="D50" s="3">
        <v>29000000</v>
      </c>
      <c r="E50" s="3">
        <v>20838041</v>
      </c>
      <c r="F50" s="3">
        <v>0.64305137519831446</v>
      </c>
      <c r="G50" s="3">
        <v>0.60988283029855628</v>
      </c>
      <c r="H50" s="3">
        <v>3</v>
      </c>
      <c r="I50" s="3">
        <v>0</v>
      </c>
      <c r="J50" s="3">
        <v>0.78092017456282103</v>
      </c>
    </row>
    <row r="51" spans="1:10">
      <c r="A51" s="4">
        <v>46170</v>
      </c>
      <c r="B51" s="2" t="s">
        <v>36</v>
      </c>
      <c r="C51" s="2" t="s">
        <v>37</v>
      </c>
      <c r="D51" s="3">
        <v>29000000</v>
      </c>
      <c r="E51" s="3">
        <v>25602184</v>
      </c>
      <c r="F51" s="3">
        <v>0.82265449920872602</v>
      </c>
      <c r="G51" s="3">
        <v>0.78812993259951214</v>
      </c>
      <c r="H51" s="3">
        <v>3</v>
      </c>
      <c r="I51" s="3">
        <v>1</v>
      </c>
      <c r="J51" s="3">
        <v>0.87447530156644226</v>
      </c>
    </row>
    <row r="52" spans="1:10">
      <c r="A52" s="4">
        <v>46201</v>
      </c>
      <c r="B52" s="2" t="s">
        <v>36</v>
      </c>
      <c r="C52" s="2" t="s">
        <v>37</v>
      </c>
      <c r="D52" s="3">
        <v>29000000</v>
      </c>
      <c r="E52" s="3">
        <v>28391266</v>
      </c>
      <c r="F52" s="3">
        <v>1</v>
      </c>
      <c r="G52" s="3">
        <v>0.99869045579472226</v>
      </c>
      <c r="H52" s="3">
        <v>0</v>
      </c>
      <c r="I52" s="3">
        <v>0</v>
      </c>
      <c r="J52" s="3">
        <v>0.95139957173058154</v>
      </c>
    </row>
    <row r="53" spans="1:10">
      <c r="A53" s="4">
        <v>46050</v>
      </c>
      <c r="B53" s="2" t="s">
        <v>38</v>
      </c>
      <c r="C53" s="2" t="s">
        <v>39</v>
      </c>
      <c r="D53" s="3">
        <v>14000000</v>
      </c>
      <c r="E53" s="3">
        <v>2151724</v>
      </c>
      <c r="F53" s="3">
        <v>0.14464763478615669</v>
      </c>
      <c r="G53" s="3">
        <v>0.11785885448558051</v>
      </c>
      <c r="H53" s="3">
        <v>2</v>
      </c>
      <c r="I53" s="3">
        <v>2</v>
      </c>
      <c r="J53" s="3">
        <v>0.82136361390160684</v>
      </c>
    </row>
    <row r="54" spans="1:10">
      <c r="A54" s="4">
        <v>46081</v>
      </c>
      <c r="B54" s="2" t="s">
        <v>38</v>
      </c>
      <c r="C54" s="2" t="s">
        <v>39</v>
      </c>
      <c r="D54" s="3">
        <v>14000000</v>
      </c>
      <c r="E54" s="3">
        <v>4164278</v>
      </c>
      <c r="F54" s="3">
        <v>0.31711095443743981</v>
      </c>
      <c r="G54" s="3">
        <v>0.31138082494445568</v>
      </c>
      <c r="H54" s="3">
        <v>1</v>
      </c>
      <c r="I54" s="3">
        <v>1</v>
      </c>
      <c r="J54" s="3">
        <v>0.97250208361580937</v>
      </c>
    </row>
    <row r="55" spans="1:10">
      <c r="A55" s="4">
        <v>46109</v>
      </c>
      <c r="B55" s="2" t="s">
        <v>38</v>
      </c>
      <c r="C55" s="2" t="s">
        <v>39</v>
      </c>
      <c r="D55" s="3">
        <v>14000000</v>
      </c>
      <c r="E55" s="3">
        <v>6434319</v>
      </c>
      <c r="F55" s="3">
        <v>0.45722625733852562</v>
      </c>
      <c r="G55" s="3">
        <v>0.4466693197950094</v>
      </c>
      <c r="H55" s="3">
        <v>1</v>
      </c>
      <c r="I55" s="3">
        <v>0</v>
      </c>
      <c r="J55" s="3">
        <v>0.79568772397830201</v>
      </c>
    </row>
    <row r="56" spans="1:10">
      <c r="A56" s="4">
        <v>46140</v>
      </c>
      <c r="B56" s="2" t="s">
        <v>38</v>
      </c>
      <c r="C56" s="2" t="s">
        <v>39</v>
      </c>
      <c r="D56" s="3">
        <v>14000000</v>
      </c>
      <c r="E56" s="3">
        <v>9277103</v>
      </c>
      <c r="F56" s="3">
        <v>0.71482523690669253</v>
      </c>
      <c r="G56" s="3">
        <v>0.68452239665756798</v>
      </c>
      <c r="H56" s="3">
        <v>3</v>
      </c>
      <c r="I56" s="3">
        <v>2</v>
      </c>
      <c r="J56" s="3">
        <v>0.97074074697024937</v>
      </c>
    </row>
    <row r="57" spans="1:10">
      <c r="A57" s="4">
        <v>46170</v>
      </c>
      <c r="B57" s="2" t="s">
        <v>38</v>
      </c>
      <c r="C57" s="2" t="s">
        <v>39</v>
      </c>
      <c r="D57" s="3">
        <v>14000000</v>
      </c>
      <c r="E57" s="3">
        <v>11254429</v>
      </c>
      <c r="F57" s="3">
        <v>0.80342243954160253</v>
      </c>
      <c r="G57" s="3">
        <v>0.78087476276550694</v>
      </c>
      <c r="H57" s="3">
        <v>2</v>
      </c>
      <c r="I57" s="3">
        <v>0</v>
      </c>
      <c r="J57" s="3">
        <v>0.72102848394753394</v>
      </c>
    </row>
    <row r="58" spans="1:10">
      <c r="A58" s="4">
        <v>46201</v>
      </c>
      <c r="B58" s="2" t="s">
        <v>38</v>
      </c>
      <c r="C58" s="2" t="s">
        <v>39</v>
      </c>
      <c r="D58" s="3">
        <v>14000000</v>
      </c>
      <c r="E58" s="3">
        <v>12744165</v>
      </c>
      <c r="F58" s="3">
        <v>1</v>
      </c>
      <c r="G58" s="3">
        <v>1</v>
      </c>
      <c r="H58" s="3">
        <v>0</v>
      </c>
      <c r="I58" s="3">
        <v>2</v>
      </c>
      <c r="J58" s="3">
        <v>0.91691111941842252</v>
      </c>
    </row>
    <row r="59" spans="1:10">
      <c r="A59" s="4">
        <v>46050</v>
      </c>
      <c r="B59" s="2" t="s">
        <v>40</v>
      </c>
      <c r="C59" s="2" t="s">
        <v>41</v>
      </c>
      <c r="D59" s="3">
        <v>9000000</v>
      </c>
      <c r="E59" s="3">
        <v>1768183</v>
      </c>
      <c r="F59" s="3">
        <v>0.17666971141462121</v>
      </c>
      <c r="G59" s="3">
        <v>0.17666971141462121</v>
      </c>
      <c r="H59" s="3">
        <v>0</v>
      </c>
      <c r="I59" s="3">
        <v>0</v>
      </c>
      <c r="J59" s="3">
        <v>0.96716207098610274</v>
      </c>
    </row>
    <row r="60" spans="1:10">
      <c r="A60" s="4">
        <v>46081</v>
      </c>
      <c r="B60" s="2" t="s">
        <v>40</v>
      </c>
      <c r="C60" s="2" t="s">
        <v>41</v>
      </c>
      <c r="D60" s="3">
        <v>9000000</v>
      </c>
      <c r="E60" s="3">
        <v>2891492</v>
      </c>
      <c r="F60" s="3">
        <v>0.35406253380664821</v>
      </c>
      <c r="G60" s="3">
        <v>0.35406253380664821</v>
      </c>
      <c r="H60" s="3">
        <v>0</v>
      </c>
      <c r="I60" s="3">
        <v>1</v>
      </c>
      <c r="J60" s="3">
        <v>0.84699481884775085</v>
      </c>
    </row>
    <row r="61" spans="1:10">
      <c r="A61" s="4">
        <v>46109</v>
      </c>
      <c r="B61" s="2" t="s">
        <v>40</v>
      </c>
      <c r="C61" s="2" t="s">
        <v>41</v>
      </c>
      <c r="D61" s="3">
        <v>9000000</v>
      </c>
      <c r="E61" s="3">
        <v>3866195</v>
      </c>
      <c r="F61" s="3">
        <v>0.47672052089344741</v>
      </c>
      <c r="G61" s="3">
        <v>0.47261164898834429</v>
      </c>
      <c r="H61" s="3">
        <v>0</v>
      </c>
      <c r="I61" s="3">
        <v>1</v>
      </c>
      <c r="J61" s="3">
        <v>0.84483449084741191</v>
      </c>
    </row>
    <row r="62" spans="1:10">
      <c r="A62" s="4">
        <v>46140</v>
      </c>
      <c r="B62" s="2" t="s">
        <v>40</v>
      </c>
      <c r="C62" s="2" t="s">
        <v>41</v>
      </c>
      <c r="D62" s="3">
        <v>9000000</v>
      </c>
      <c r="E62" s="3">
        <v>5428895</v>
      </c>
      <c r="F62" s="3">
        <v>0.65829446598771113</v>
      </c>
      <c r="G62" s="3">
        <v>0.64191579353309935</v>
      </c>
      <c r="H62" s="3">
        <v>1</v>
      </c>
      <c r="I62" s="3">
        <v>0</v>
      </c>
      <c r="J62" s="3">
        <v>0.9515692236671397</v>
      </c>
    </row>
    <row r="63" spans="1:10">
      <c r="A63" s="4">
        <v>46170</v>
      </c>
      <c r="B63" s="2" t="s">
        <v>40</v>
      </c>
      <c r="C63" s="2" t="s">
        <v>41</v>
      </c>
      <c r="D63" s="3">
        <v>9000000</v>
      </c>
      <c r="E63" s="3">
        <v>8101091</v>
      </c>
      <c r="F63" s="3">
        <v>0.84962171011521692</v>
      </c>
      <c r="G63" s="3">
        <v>0.84962171011521692</v>
      </c>
      <c r="H63" s="3">
        <v>0</v>
      </c>
      <c r="I63" s="3">
        <v>0</v>
      </c>
      <c r="J63" s="3">
        <v>0.86991725271207776</v>
      </c>
    </row>
    <row r="64" spans="1:10">
      <c r="A64" s="4">
        <v>46201</v>
      </c>
      <c r="B64" s="2" t="s">
        <v>40</v>
      </c>
      <c r="C64" s="2" t="s">
        <v>41</v>
      </c>
      <c r="D64" s="3">
        <v>9000000</v>
      </c>
      <c r="E64" s="3">
        <v>9603879</v>
      </c>
      <c r="F64" s="3">
        <v>0.97927957059731296</v>
      </c>
      <c r="G64" s="3">
        <v>0.97927957059731296</v>
      </c>
      <c r="H64" s="3">
        <v>0</v>
      </c>
      <c r="I64" s="3">
        <v>1</v>
      </c>
      <c r="J64" s="3">
        <v>0.80708812712783429</v>
      </c>
    </row>
    <row r="65" spans="1:10">
      <c r="A65" s="4">
        <v>46050</v>
      </c>
      <c r="B65" s="2" t="s">
        <v>42</v>
      </c>
      <c r="C65" s="2" t="s">
        <v>43</v>
      </c>
      <c r="D65" s="3">
        <v>27500000</v>
      </c>
      <c r="E65" s="3">
        <v>3888387</v>
      </c>
      <c r="F65" s="3">
        <v>0.14800432002536959</v>
      </c>
      <c r="G65" s="3">
        <v>0.14800432002536959</v>
      </c>
      <c r="H65" s="3">
        <v>0</v>
      </c>
      <c r="I65" s="3">
        <v>4</v>
      </c>
      <c r="J65" s="3">
        <v>0.77185441210972627</v>
      </c>
    </row>
    <row r="66" spans="1:10">
      <c r="A66" s="4">
        <v>46081</v>
      </c>
      <c r="B66" s="2" t="s">
        <v>42</v>
      </c>
      <c r="C66" s="2" t="s">
        <v>43</v>
      </c>
      <c r="D66" s="3">
        <v>27500000</v>
      </c>
      <c r="E66" s="3">
        <v>10155863</v>
      </c>
      <c r="F66" s="3">
        <v>0.33725795096306799</v>
      </c>
      <c r="G66" s="3">
        <v>0.33725795096306799</v>
      </c>
      <c r="H66" s="3">
        <v>0</v>
      </c>
      <c r="I66" s="3">
        <v>2</v>
      </c>
      <c r="J66" s="3">
        <v>0.97699367263041559</v>
      </c>
    </row>
    <row r="67" spans="1:10">
      <c r="A67" s="4">
        <v>46109</v>
      </c>
      <c r="B67" s="2" t="s">
        <v>42</v>
      </c>
      <c r="C67" s="2" t="s">
        <v>43</v>
      </c>
      <c r="D67" s="3">
        <v>27500000</v>
      </c>
      <c r="E67" s="3">
        <v>15203438</v>
      </c>
      <c r="F67" s="3">
        <v>0.53721507615235364</v>
      </c>
      <c r="G67" s="3">
        <v>0.53721507615235364</v>
      </c>
      <c r="H67" s="3">
        <v>0</v>
      </c>
      <c r="I67" s="3">
        <v>2</v>
      </c>
      <c r="J67" s="3">
        <v>0.83727046859187249</v>
      </c>
    </row>
    <row r="68" spans="1:10">
      <c r="A68" s="4">
        <v>46140</v>
      </c>
      <c r="B68" s="2" t="s">
        <v>42</v>
      </c>
      <c r="C68" s="2" t="s">
        <v>43</v>
      </c>
      <c r="D68" s="3">
        <v>27500000</v>
      </c>
      <c r="E68" s="3">
        <v>19458799</v>
      </c>
      <c r="F68" s="3">
        <v>0.7016637534374921</v>
      </c>
      <c r="G68" s="3">
        <v>0.7016637534374921</v>
      </c>
      <c r="H68" s="3">
        <v>0</v>
      </c>
      <c r="I68" s="3">
        <v>2</v>
      </c>
      <c r="J68" s="3">
        <v>0.91862502687866066</v>
      </c>
    </row>
    <row r="69" spans="1:10">
      <c r="A69" s="4">
        <v>46170</v>
      </c>
      <c r="B69" s="2" t="s">
        <v>42</v>
      </c>
      <c r="C69" s="2" t="s">
        <v>43</v>
      </c>
      <c r="D69" s="3">
        <v>27500000</v>
      </c>
      <c r="E69" s="3">
        <v>17332178</v>
      </c>
      <c r="F69" s="3">
        <v>0.71178698612636415</v>
      </c>
      <c r="G69" s="3">
        <v>0.71178698612636415</v>
      </c>
      <c r="H69" s="3">
        <v>0</v>
      </c>
      <c r="I69" s="3">
        <v>3</v>
      </c>
      <c r="J69" s="3">
        <v>0.74803580992930763</v>
      </c>
    </row>
    <row r="70" spans="1:10">
      <c r="A70" s="4">
        <v>46201</v>
      </c>
      <c r="B70" s="2" t="s">
        <v>42</v>
      </c>
      <c r="C70" s="2" t="s">
        <v>43</v>
      </c>
      <c r="D70" s="3">
        <v>27500000</v>
      </c>
      <c r="E70" s="3">
        <v>24411164</v>
      </c>
      <c r="F70" s="3">
        <v>1</v>
      </c>
      <c r="G70" s="3">
        <v>0.98399767930844639</v>
      </c>
      <c r="H70" s="3">
        <v>1</v>
      </c>
      <c r="I70" s="3">
        <v>3</v>
      </c>
      <c r="J70" s="3">
        <v>0.94453454287762706</v>
      </c>
    </row>
    <row r="71" spans="1:10">
      <c r="A71" s="4">
        <v>46050</v>
      </c>
      <c r="B71" s="2" t="s">
        <v>44</v>
      </c>
      <c r="C71" s="2" t="s">
        <v>45</v>
      </c>
      <c r="D71" s="3">
        <v>12000000</v>
      </c>
      <c r="E71" s="3">
        <v>3560574</v>
      </c>
      <c r="F71" s="3">
        <v>0.1533057082793135</v>
      </c>
      <c r="G71" s="3">
        <v>0.1533057082793135</v>
      </c>
      <c r="H71" s="3">
        <v>0</v>
      </c>
      <c r="I71" s="3">
        <v>2</v>
      </c>
      <c r="J71" s="3">
        <v>1.0682326788408789</v>
      </c>
    </row>
    <row r="72" spans="1:10">
      <c r="A72" s="4">
        <v>46081</v>
      </c>
      <c r="B72" s="2" t="s">
        <v>44</v>
      </c>
      <c r="C72" s="2" t="s">
        <v>45</v>
      </c>
      <c r="D72" s="3">
        <v>12000000</v>
      </c>
      <c r="E72" s="3">
        <v>5015069</v>
      </c>
      <c r="F72" s="3">
        <v>0.28686227121986613</v>
      </c>
      <c r="G72" s="3">
        <v>0.28686227121986613</v>
      </c>
      <c r="H72" s="3">
        <v>0</v>
      </c>
      <c r="I72" s="3">
        <v>2</v>
      </c>
      <c r="J72" s="3">
        <v>1.1264178304571799</v>
      </c>
    </row>
    <row r="73" spans="1:10">
      <c r="A73" s="4">
        <v>46109</v>
      </c>
      <c r="B73" s="2" t="s">
        <v>44</v>
      </c>
      <c r="C73" s="2" t="s">
        <v>45</v>
      </c>
      <c r="D73" s="3">
        <v>12000000</v>
      </c>
      <c r="E73" s="3">
        <v>6468812</v>
      </c>
      <c r="F73" s="3">
        <v>0.43258394686020091</v>
      </c>
      <c r="G73" s="3">
        <v>0.27605757894296029</v>
      </c>
      <c r="H73" s="3">
        <v>14</v>
      </c>
      <c r="I73" s="3">
        <v>2</v>
      </c>
      <c r="J73" s="3">
        <v>1.184897061830706</v>
      </c>
    </row>
    <row r="74" spans="1:10">
      <c r="A74" s="4">
        <v>46140</v>
      </c>
      <c r="B74" s="2" t="s">
        <v>44</v>
      </c>
      <c r="C74" s="2" t="s">
        <v>45</v>
      </c>
      <c r="D74" s="3">
        <v>12000000</v>
      </c>
      <c r="E74" s="3">
        <v>10871581</v>
      </c>
      <c r="F74" s="3">
        <v>0.71440710809426744</v>
      </c>
      <c r="G74" s="3">
        <v>0.57323926614480392</v>
      </c>
      <c r="H74" s="3">
        <v>13</v>
      </c>
      <c r="I74" s="3">
        <v>3</v>
      </c>
      <c r="J74" s="3">
        <v>1.165416016162711</v>
      </c>
    </row>
    <row r="75" spans="1:10">
      <c r="A75" s="4">
        <v>46170</v>
      </c>
      <c r="B75" s="2" t="s">
        <v>44</v>
      </c>
      <c r="C75" s="2" t="s">
        <v>45</v>
      </c>
      <c r="D75" s="3">
        <v>12000000</v>
      </c>
      <c r="E75" s="3">
        <v>10663902</v>
      </c>
      <c r="F75" s="3">
        <v>0.76568170301657446</v>
      </c>
      <c r="G75" s="3">
        <v>0.6394282341522457</v>
      </c>
      <c r="H75" s="3">
        <v>11</v>
      </c>
      <c r="I75" s="3">
        <v>4</v>
      </c>
      <c r="J75" s="3">
        <v>1.1919404681847221</v>
      </c>
    </row>
    <row r="76" spans="1:10">
      <c r="A76" s="4">
        <v>46201</v>
      </c>
      <c r="B76" s="2" t="s">
        <v>44</v>
      </c>
      <c r="C76" s="2" t="s">
        <v>45</v>
      </c>
      <c r="D76" s="3">
        <v>12000000</v>
      </c>
      <c r="E76" s="3">
        <v>13870818</v>
      </c>
      <c r="F76" s="3">
        <v>0.9419311555457619</v>
      </c>
      <c r="G76" s="3">
        <v>0.80340973751604206</v>
      </c>
      <c r="H76" s="3">
        <v>12</v>
      </c>
      <c r="I76" s="3">
        <v>2</v>
      </c>
      <c r="J76" s="3">
        <v>0.99776898899729682</v>
      </c>
    </row>
    <row r="77" spans="1:10">
      <c r="A77" s="4">
        <v>46050</v>
      </c>
      <c r="B77" s="2" t="s">
        <v>46</v>
      </c>
      <c r="C77" s="2" t="s">
        <v>47</v>
      </c>
      <c r="D77" s="3">
        <v>32000000</v>
      </c>
      <c r="E77" s="3">
        <v>4674193</v>
      </c>
      <c r="F77" s="3">
        <v>0.16139581753356749</v>
      </c>
      <c r="G77" s="3">
        <v>0.13003570021778901</v>
      </c>
      <c r="H77" s="3">
        <v>3</v>
      </c>
      <c r="I77" s="3">
        <v>2</v>
      </c>
      <c r="J77" s="3">
        <v>0.82515335591198036</v>
      </c>
    </row>
    <row r="78" spans="1:10">
      <c r="A78" s="4">
        <v>46081</v>
      </c>
      <c r="B78" s="2" t="s">
        <v>46</v>
      </c>
      <c r="C78" s="2" t="s">
        <v>47</v>
      </c>
      <c r="D78" s="3">
        <v>32000000</v>
      </c>
      <c r="E78" s="3">
        <v>10845475</v>
      </c>
      <c r="F78" s="3">
        <v>0.31527631745741341</v>
      </c>
      <c r="G78" s="3">
        <v>0.31527631745741341</v>
      </c>
      <c r="H78" s="3">
        <v>0</v>
      </c>
      <c r="I78" s="3">
        <v>1</v>
      </c>
      <c r="J78" s="3">
        <v>0.90322760992425044</v>
      </c>
    </row>
    <row r="79" spans="1:10">
      <c r="A79" s="4">
        <v>46109</v>
      </c>
      <c r="B79" s="2" t="s">
        <v>46</v>
      </c>
      <c r="C79" s="2" t="s">
        <v>47</v>
      </c>
      <c r="D79" s="3">
        <v>32000000</v>
      </c>
      <c r="E79" s="3">
        <v>16756859</v>
      </c>
      <c r="F79" s="3">
        <v>0.51872460978194301</v>
      </c>
      <c r="G79" s="3">
        <v>0.51872460978194301</v>
      </c>
      <c r="H79" s="3">
        <v>0</v>
      </c>
      <c r="I79" s="3">
        <v>0</v>
      </c>
      <c r="J79" s="3">
        <v>0.80377817889296455</v>
      </c>
    </row>
    <row r="80" spans="1:10">
      <c r="A80" s="4">
        <v>46140</v>
      </c>
      <c r="B80" s="2" t="s">
        <v>46</v>
      </c>
      <c r="C80" s="2" t="s">
        <v>47</v>
      </c>
      <c r="D80" s="3">
        <v>32000000</v>
      </c>
      <c r="E80" s="3">
        <v>19861164</v>
      </c>
      <c r="F80" s="3">
        <v>0.57810094108440313</v>
      </c>
      <c r="G80" s="3">
        <v>0.57810094108440313</v>
      </c>
      <c r="H80" s="3">
        <v>0</v>
      </c>
      <c r="I80" s="3">
        <v>2</v>
      </c>
      <c r="J80" s="3">
        <v>0.9225995228569448</v>
      </c>
    </row>
    <row r="81" spans="1:10">
      <c r="A81" s="4">
        <v>46170</v>
      </c>
      <c r="B81" s="2" t="s">
        <v>46</v>
      </c>
      <c r="C81" s="2" t="s">
        <v>47</v>
      </c>
      <c r="D81" s="3">
        <v>32000000</v>
      </c>
      <c r="E81" s="3">
        <v>28413366</v>
      </c>
      <c r="F81" s="3">
        <v>0.85672400936282445</v>
      </c>
      <c r="G81" s="3">
        <v>0.82318419440995783</v>
      </c>
      <c r="H81" s="3">
        <v>3</v>
      </c>
      <c r="I81" s="3">
        <v>2</v>
      </c>
      <c r="J81" s="3">
        <v>0.77007715610077743</v>
      </c>
    </row>
    <row r="82" spans="1:10">
      <c r="A82" s="4">
        <v>46201</v>
      </c>
      <c r="B82" s="2" t="s">
        <v>46</v>
      </c>
      <c r="C82" s="2" t="s">
        <v>47</v>
      </c>
      <c r="D82" s="3">
        <v>32000000</v>
      </c>
      <c r="E82" s="3">
        <v>32152517</v>
      </c>
      <c r="F82" s="3">
        <v>1</v>
      </c>
      <c r="G82" s="3">
        <v>0.96688014868127936</v>
      </c>
      <c r="H82" s="3">
        <v>3</v>
      </c>
      <c r="I82" s="3">
        <v>1</v>
      </c>
      <c r="J82" s="3">
        <v>0.72578468235677362</v>
      </c>
    </row>
    <row r="83" spans="1:10">
      <c r="A83" s="4">
        <v>46050</v>
      </c>
      <c r="B83" s="2" t="s">
        <v>48</v>
      </c>
      <c r="C83" s="2" t="s">
        <v>49</v>
      </c>
      <c r="D83" s="3">
        <v>28500000</v>
      </c>
      <c r="E83" s="3">
        <v>4309294</v>
      </c>
      <c r="F83" s="3">
        <v>0.1447529153731644</v>
      </c>
      <c r="G83" s="3">
        <v>0.1447529153731644</v>
      </c>
      <c r="H83" s="3">
        <v>0</v>
      </c>
      <c r="I83" s="3">
        <v>0</v>
      </c>
      <c r="J83" s="3">
        <v>0.89531618417477032</v>
      </c>
    </row>
    <row r="84" spans="1:10">
      <c r="A84" s="4">
        <v>46081</v>
      </c>
      <c r="B84" s="2" t="s">
        <v>48</v>
      </c>
      <c r="C84" s="2" t="s">
        <v>49</v>
      </c>
      <c r="D84" s="3">
        <v>28500000</v>
      </c>
      <c r="E84" s="3">
        <v>9193805</v>
      </c>
      <c r="F84" s="3">
        <v>0.2901181595924967</v>
      </c>
      <c r="G84" s="3">
        <v>0.27495670192548249</v>
      </c>
      <c r="H84" s="3">
        <v>1</v>
      </c>
      <c r="I84" s="3">
        <v>0</v>
      </c>
      <c r="J84" s="3">
        <v>0.76870253688208834</v>
      </c>
    </row>
    <row r="85" spans="1:10">
      <c r="A85" s="4">
        <v>46109</v>
      </c>
      <c r="B85" s="2" t="s">
        <v>48</v>
      </c>
      <c r="C85" s="2" t="s">
        <v>49</v>
      </c>
      <c r="D85" s="3">
        <v>28500000</v>
      </c>
      <c r="E85" s="3">
        <v>13336292</v>
      </c>
      <c r="F85" s="3">
        <v>0.49542045926414591</v>
      </c>
      <c r="G85" s="3">
        <v>0.47755481890924228</v>
      </c>
      <c r="H85" s="3">
        <v>2</v>
      </c>
      <c r="I85" s="3">
        <v>1</v>
      </c>
      <c r="J85" s="3">
        <v>0.80731719145769687</v>
      </c>
    </row>
    <row r="86" spans="1:10">
      <c r="A86" s="4">
        <v>46140</v>
      </c>
      <c r="B86" s="2" t="s">
        <v>48</v>
      </c>
      <c r="C86" s="2" t="s">
        <v>49</v>
      </c>
      <c r="D86" s="3">
        <v>28500000</v>
      </c>
      <c r="E86" s="3">
        <v>17584530</v>
      </c>
      <c r="F86" s="3">
        <v>0.6919779166796568</v>
      </c>
      <c r="G86" s="3">
        <v>0.67521453585843738</v>
      </c>
      <c r="H86" s="3">
        <v>2</v>
      </c>
      <c r="I86" s="3">
        <v>1</v>
      </c>
      <c r="J86" s="3">
        <v>0.77960571756932961</v>
      </c>
    </row>
    <row r="87" spans="1:10">
      <c r="A87" s="4">
        <v>46170</v>
      </c>
      <c r="B87" s="2" t="s">
        <v>48</v>
      </c>
      <c r="C87" s="2" t="s">
        <v>49</v>
      </c>
      <c r="D87" s="3">
        <v>28500000</v>
      </c>
      <c r="E87" s="3">
        <v>25739352</v>
      </c>
      <c r="F87" s="3">
        <v>0.89668571351851267</v>
      </c>
      <c r="G87" s="3">
        <v>0.89668571351851267</v>
      </c>
      <c r="H87" s="3">
        <v>0</v>
      </c>
      <c r="I87" s="3">
        <v>2</v>
      </c>
      <c r="J87" s="3">
        <v>0.94796485757257676</v>
      </c>
    </row>
    <row r="88" spans="1:10">
      <c r="A88" s="4">
        <v>46201</v>
      </c>
      <c r="B88" s="2" t="s">
        <v>48</v>
      </c>
      <c r="C88" s="2" t="s">
        <v>49</v>
      </c>
      <c r="D88" s="3">
        <v>28500000</v>
      </c>
      <c r="E88" s="3">
        <v>26226690</v>
      </c>
      <c r="F88" s="3">
        <v>1</v>
      </c>
      <c r="G88" s="3">
        <v>0.99843866714317464</v>
      </c>
      <c r="H88" s="3">
        <v>0</v>
      </c>
      <c r="I88" s="3">
        <v>1</v>
      </c>
      <c r="J88" s="3">
        <v>0.95716101074538829</v>
      </c>
    </row>
    <row r="89" spans="1:10">
      <c r="A89" s="4">
        <v>46050</v>
      </c>
      <c r="B89" s="2" t="s">
        <v>50</v>
      </c>
      <c r="C89" s="2" t="s">
        <v>51</v>
      </c>
      <c r="D89" s="3">
        <v>15500000</v>
      </c>
      <c r="E89" s="3">
        <v>2688664</v>
      </c>
      <c r="F89" s="3">
        <v>0.15860774575098399</v>
      </c>
      <c r="G89" s="3">
        <v>0.1422257452303628</v>
      </c>
      <c r="H89" s="3">
        <v>1</v>
      </c>
      <c r="I89" s="3">
        <v>2</v>
      </c>
      <c r="J89" s="3">
        <v>0.94749846487091094</v>
      </c>
    </row>
    <row r="90" spans="1:10">
      <c r="A90" s="4">
        <v>46081</v>
      </c>
      <c r="B90" s="2" t="s">
        <v>50</v>
      </c>
      <c r="C90" s="2" t="s">
        <v>51</v>
      </c>
      <c r="D90" s="3">
        <v>15500000</v>
      </c>
      <c r="E90" s="3">
        <v>4755890</v>
      </c>
      <c r="F90" s="3">
        <v>0.29447294973503269</v>
      </c>
      <c r="G90" s="3">
        <v>0.29447294973503269</v>
      </c>
      <c r="H90" s="3">
        <v>0</v>
      </c>
      <c r="I90" s="3">
        <v>2</v>
      </c>
      <c r="J90" s="3">
        <v>0.83407902977855874</v>
      </c>
    </row>
    <row r="91" spans="1:10">
      <c r="A91" s="4">
        <v>46109</v>
      </c>
      <c r="B91" s="2" t="s">
        <v>50</v>
      </c>
      <c r="C91" s="2" t="s">
        <v>51</v>
      </c>
      <c r="D91" s="3">
        <v>15500000</v>
      </c>
      <c r="E91" s="3">
        <v>8867703</v>
      </c>
      <c r="F91" s="3">
        <v>0.51992172039832241</v>
      </c>
      <c r="G91" s="3">
        <v>0.51992172039832241</v>
      </c>
      <c r="H91" s="3">
        <v>0</v>
      </c>
      <c r="I91" s="3">
        <v>0</v>
      </c>
      <c r="J91" s="3">
        <v>0.9198876006715736</v>
      </c>
    </row>
    <row r="92" spans="1:10">
      <c r="A92" s="4">
        <v>46140</v>
      </c>
      <c r="B92" s="2" t="s">
        <v>50</v>
      </c>
      <c r="C92" s="2" t="s">
        <v>51</v>
      </c>
      <c r="D92" s="3">
        <v>15500000</v>
      </c>
      <c r="E92" s="3">
        <v>10652041</v>
      </c>
      <c r="F92" s="3">
        <v>0.68988882146915231</v>
      </c>
      <c r="G92" s="3">
        <v>0.67422423599490533</v>
      </c>
      <c r="H92" s="3">
        <v>1</v>
      </c>
      <c r="I92" s="3">
        <v>1</v>
      </c>
      <c r="J92" s="3">
        <v>0.92007805894244243</v>
      </c>
    </row>
    <row r="93" spans="1:10">
      <c r="A93" s="4">
        <v>46170</v>
      </c>
      <c r="B93" s="2" t="s">
        <v>50</v>
      </c>
      <c r="C93" s="2" t="s">
        <v>51</v>
      </c>
      <c r="D93" s="3">
        <v>15500000</v>
      </c>
      <c r="E93" s="3">
        <v>12376792</v>
      </c>
      <c r="F93" s="3">
        <v>0.74866140666495651</v>
      </c>
      <c r="G93" s="3">
        <v>0.73262490793329105</v>
      </c>
      <c r="H93" s="3">
        <v>1</v>
      </c>
      <c r="I93" s="3">
        <v>1</v>
      </c>
      <c r="J93" s="3">
        <v>0.72537419969686001</v>
      </c>
    </row>
    <row r="94" spans="1:10">
      <c r="A94" s="4">
        <v>46201</v>
      </c>
      <c r="B94" s="2" t="s">
        <v>50</v>
      </c>
      <c r="C94" s="2" t="s">
        <v>51</v>
      </c>
      <c r="D94" s="3">
        <v>15500000</v>
      </c>
      <c r="E94" s="3">
        <v>15002743</v>
      </c>
      <c r="F94" s="3">
        <v>1</v>
      </c>
      <c r="G94" s="3">
        <v>0.97143360078857333</v>
      </c>
      <c r="H94" s="3">
        <v>3</v>
      </c>
      <c r="I94" s="3">
        <v>2</v>
      </c>
      <c r="J94" s="3">
        <v>0.72267862281804984</v>
      </c>
    </row>
    <row r="95" spans="1:10">
      <c r="A95" s="4">
        <v>46050</v>
      </c>
      <c r="B95" s="2" t="s">
        <v>52</v>
      </c>
      <c r="C95" s="2" t="s">
        <v>53</v>
      </c>
      <c r="D95" s="3">
        <v>10000000</v>
      </c>
      <c r="E95" s="3">
        <v>1669033</v>
      </c>
      <c r="F95" s="3">
        <v>0.1791093377493462</v>
      </c>
      <c r="G95" s="3">
        <v>0.1791093377493462</v>
      </c>
      <c r="H95" s="3">
        <v>0</v>
      </c>
      <c r="I95" s="3">
        <v>4</v>
      </c>
      <c r="J95" s="3">
        <v>0.95020612947033134</v>
      </c>
    </row>
    <row r="96" spans="1:10">
      <c r="A96" s="4">
        <v>46081</v>
      </c>
      <c r="B96" s="2" t="s">
        <v>52</v>
      </c>
      <c r="C96" s="2" t="s">
        <v>53</v>
      </c>
      <c r="D96" s="3">
        <v>10000000</v>
      </c>
      <c r="E96" s="3">
        <v>2956219</v>
      </c>
      <c r="F96" s="3">
        <v>0.33325625031371081</v>
      </c>
      <c r="G96" s="3">
        <v>0.33325625031371081</v>
      </c>
      <c r="H96" s="3">
        <v>0</v>
      </c>
      <c r="I96" s="3">
        <v>4</v>
      </c>
      <c r="J96" s="3">
        <v>0.95128684531411545</v>
      </c>
    </row>
    <row r="97" spans="1:10">
      <c r="A97" s="4">
        <v>46109</v>
      </c>
      <c r="B97" s="2" t="s">
        <v>52</v>
      </c>
      <c r="C97" s="2" t="s">
        <v>53</v>
      </c>
      <c r="D97" s="3">
        <v>10000000</v>
      </c>
      <c r="E97" s="3">
        <v>4410054</v>
      </c>
      <c r="F97" s="3">
        <v>0.49747721358626118</v>
      </c>
      <c r="G97" s="3">
        <v>0.48088105635232431</v>
      </c>
      <c r="H97" s="3">
        <v>1</v>
      </c>
      <c r="I97" s="3">
        <v>4</v>
      </c>
      <c r="J97" s="3">
        <v>0.96888780268612962</v>
      </c>
    </row>
    <row r="98" spans="1:10">
      <c r="A98" s="4">
        <v>46140</v>
      </c>
      <c r="B98" s="2" t="s">
        <v>52</v>
      </c>
      <c r="C98" s="2" t="s">
        <v>53</v>
      </c>
      <c r="D98" s="3">
        <v>10000000</v>
      </c>
      <c r="E98" s="3">
        <v>6667722</v>
      </c>
      <c r="F98" s="3">
        <v>0.60739317677602767</v>
      </c>
      <c r="G98" s="3">
        <v>0.60739317677602767</v>
      </c>
      <c r="H98" s="3">
        <v>0</v>
      </c>
      <c r="I98" s="3">
        <v>2</v>
      </c>
      <c r="J98" s="3">
        <v>0.74404391468634568</v>
      </c>
    </row>
    <row r="99" spans="1:10">
      <c r="A99" s="4">
        <v>46170</v>
      </c>
      <c r="B99" s="2" t="s">
        <v>52</v>
      </c>
      <c r="C99" s="2" t="s">
        <v>53</v>
      </c>
      <c r="D99" s="3">
        <v>10000000</v>
      </c>
      <c r="E99" s="3">
        <v>7675250</v>
      </c>
      <c r="F99" s="3">
        <v>0.85087820024364202</v>
      </c>
      <c r="G99" s="3">
        <v>0.85087820024364202</v>
      </c>
      <c r="H99" s="3">
        <v>0</v>
      </c>
      <c r="I99" s="3">
        <v>2</v>
      </c>
      <c r="J99" s="3">
        <v>0.74140583289432194</v>
      </c>
    </row>
    <row r="100" spans="1:10">
      <c r="A100" s="4">
        <v>46201</v>
      </c>
      <c r="B100" s="2" t="s">
        <v>52</v>
      </c>
      <c r="C100" s="2" t="s">
        <v>53</v>
      </c>
      <c r="D100" s="3">
        <v>10000000</v>
      </c>
      <c r="E100" s="3">
        <v>9720104</v>
      </c>
      <c r="F100" s="3">
        <v>1</v>
      </c>
      <c r="G100" s="3">
        <v>1</v>
      </c>
      <c r="H100" s="3">
        <v>0</v>
      </c>
      <c r="I100" s="3">
        <v>2</v>
      </c>
      <c r="J100" s="3">
        <v>0.91575397718782514</v>
      </c>
    </row>
    <row r="101" spans="1:10">
      <c r="A101" s="4">
        <v>46050</v>
      </c>
      <c r="B101" s="2" t="s">
        <v>54</v>
      </c>
      <c r="C101" s="2" t="s">
        <v>55</v>
      </c>
      <c r="D101" s="3">
        <v>12500000</v>
      </c>
      <c r="E101" s="3">
        <v>1985337</v>
      </c>
      <c r="F101" s="3">
        <v>0.15353327139142359</v>
      </c>
      <c r="G101" s="3">
        <v>0.15353327139142359</v>
      </c>
      <c r="H101" s="3">
        <v>0</v>
      </c>
      <c r="I101" s="3">
        <v>2</v>
      </c>
      <c r="J101" s="3">
        <v>0.81141530005329865</v>
      </c>
    </row>
    <row r="102" spans="1:10">
      <c r="A102" s="4">
        <v>46081</v>
      </c>
      <c r="B102" s="2" t="s">
        <v>54</v>
      </c>
      <c r="C102" s="2" t="s">
        <v>55</v>
      </c>
      <c r="D102" s="3">
        <v>12500000</v>
      </c>
      <c r="E102" s="3">
        <v>3762298</v>
      </c>
      <c r="F102" s="3">
        <v>0.31300818199473629</v>
      </c>
      <c r="G102" s="3">
        <v>0.28745064686068972</v>
      </c>
      <c r="H102" s="3">
        <v>2</v>
      </c>
      <c r="I102" s="3">
        <v>2</v>
      </c>
      <c r="J102" s="3">
        <v>0.80637271350182338</v>
      </c>
    </row>
    <row r="103" spans="1:10">
      <c r="A103" s="4">
        <v>46109</v>
      </c>
      <c r="B103" s="2" t="s">
        <v>54</v>
      </c>
      <c r="C103" s="2" t="s">
        <v>55</v>
      </c>
      <c r="D103" s="3">
        <v>12500000</v>
      </c>
      <c r="E103" s="3">
        <v>5720293</v>
      </c>
      <c r="F103" s="3">
        <v>0.46966802363545102</v>
      </c>
      <c r="G103" s="3">
        <v>0.46966802363545102</v>
      </c>
      <c r="H103" s="3">
        <v>0</v>
      </c>
      <c r="I103" s="3">
        <v>0</v>
      </c>
      <c r="J103" s="3">
        <v>0.90003979563503766</v>
      </c>
    </row>
    <row r="104" spans="1:10">
      <c r="A104" s="4">
        <v>46140</v>
      </c>
      <c r="B104" s="2" t="s">
        <v>54</v>
      </c>
      <c r="C104" s="2" t="s">
        <v>55</v>
      </c>
      <c r="D104" s="3">
        <v>12500000</v>
      </c>
      <c r="E104" s="3">
        <v>9183307</v>
      </c>
      <c r="F104" s="3">
        <v>0.66404020691072019</v>
      </c>
      <c r="G104" s="3">
        <v>0.66404020691072019</v>
      </c>
      <c r="H104" s="3">
        <v>0</v>
      </c>
      <c r="I104" s="3">
        <v>0</v>
      </c>
      <c r="J104" s="3">
        <v>0.95752850772720011</v>
      </c>
    </row>
    <row r="105" spans="1:10">
      <c r="A105" s="4">
        <v>46170</v>
      </c>
      <c r="B105" s="2" t="s">
        <v>54</v>
      </c>
      <c r="C105" s="2" t="s">
        <v>55</v>
      </c>
      <c r="D105" s="3">
        <v>12500000</v>
      </c>
      <c r="E105" s="3">
        <v>10353102</v>
      </c>
      <c r="F105" s="3">
        <v>0.82054103973598125</v>
      </c>
      <c r="G105" s="3">
        <v>0.80511402945176469</v>
      </c>
      <c r="H105" s="3">
        <v>1</v>
      </c>
      <c r="I105" s="3">
        <v>0</v>
      </c>
      <c r="J105" s="3">
        <v>0.83422363422187762</v>
      </c>
    </row>
    <row r="106" spans="1:10">
      <c r="A106" s="4">
        <v>46201</v>
      </c>
      <c r="B106" s="2" t="s">
        <v>54</v>
      </c>
      <c r="C106" s="2" t="s">
        <v>55</v>
      </c>
      <c r="D106" s="3">
        <v>12500000</v>
      </c>
      <c r="E106" s="3">
        <v>11885371</v>
      </c>
      <c r="F106" s="3">
        <v>1</v>
      </c>
      <c r="G106" s="3">
        <v>0.97670683086023913</v>
      </c>
      <c r="H106" s="3">
        <v>2</v>
      </c>
      <c r="I106" s="3">
        <v>1</v>
      </c>
      <c r="J106" s="3">
        <v>0.79424244460192539</v>
      </c>
    </row>
    <row r="107" spans="1:10">
      <c r="A107" s="4">
        <v>46050</v>
      </c>
      <c r="B107" s="2" t="s">
        <v>56</v>
      </c>
      <c r="C107" s="2" t="s">
        <v>57</v>
      </c>
      <c r="D107" s="3">
        <v>9500000</v>
      </c>
      <c r="E107" s="3">
        <v>1652193</v>
      </c>
      <c r="F107" s="3">
        <v>0.16522734589541041</v>
      </c>
      <c r="G107" s="3">
        <v>0.16522734589541041</v>
      </c>
      <c r="H107" s="3">
        <v>0</v>
      </c>
      <c r="I107" s="3">
        <v>0</v>
      </c>
      <c r="J107" s="3">
        <v>0.76533195095110162</v>
      </c>
    </row>
    <row r="108" spans="1:10">
      <c r="A108" s="4">
        <v>46081</v>
      </c>
      <c r="B108" s="2" t="s">
        <v>56</v>
      </c>
      <c r="C108" s="2" t="s">
        <v>57</v>
      </c>
      <c r="D108" s="3">
        <v>9500000</v>
      </c>
      <c r="E108" s="3">
        <v>2774334</v>
      </c>
      <c r="F108" s="3">
        <v>0.31621593533834158</v>
      </c>
      <c r="G108" s="3">
        <v>0.31621593533834158</v>
      </c>
      <c r="H108" s="3">
        <v>0</v>
      </c>
      <c r="I108" s="3">
        <v>1</v>
      </c>
      <c r="J108" s="3">
        <v>0.81934991630800558</v>
      </c>
    </row>
    <row r="109" spans="1:10">
      <c r="A109" s="4">
        <v>46109</v>
      </c>
      <c r="B109" s="2" t="s">
        <v>56</v>
      </c>
      <c r="C109" s="2" t="s">
        <v>57</v>
      </c>
      <c r="D109" s="3">
        <v>9500000</v>
      </c>
      <c r="E109" s="3">
        <v>4529598</v>
      </c>
      <c r="F109" s="3">
        <v>0.44543131335542019</v>
      </c>
      <c r="G109" s="3">
        <v>0.43833031127382283</v>
      </c>
      <c r="H109" s="3">
        <v>1</v>
      </c>
      <c r="I109" s="3">
        <v>2</v>
      </c>
      <c r="J109" s="3">
        <v>0.90022364321504544</v>
      </c>
    </row>
    <row r="110" spans="1:10">
      <c r="A110" s="4">
        <v>46140</v>
      </c>
      <c r="B110" s="2" t="s">
        <v>56</v>
      </c>
      <c r="C110" s="2" t="s">
        <v>57</v>
      </c>
      <c r="D110" s="3">
        <v>9500000</v>
      </c>
      <c r="E110" s="3">
        <v>6623199</v>
      </c>
      <c r="F110" s="3">
        <v>0.66519114213995034</v>
      </c>
      <c r="G110" s="3">
        <v>0.66519114213995034</v>
      </c>
      <c r="H110" s="3">
        <v>0</v>
      </c>
      <c r="I110" s="3">
        <v>0</v>
      </c>
      <c r="J110" s="3">
        <v>0.9652839076507671</v>
      </c>
    </row>
    <row r="111" spans="1:10">
      <c r="A111" s="4">
        <v>46170</v>
      </c>
      <c r="B111" s="2" t="s">
        <v>56</v>
      </c>
      <c r="C111" s="2" t="s">
        <v>57</v>
      </c>
      <c r="D111" s="3">
        <v>9500000</v>
      </c>
      <c r="E111" s="3">
        <v>7886686</v>
      </c>
      <c r="F111" s="3">
        <v>0.86440512024291483</v>
      </c>
      <c r="G111" s="3">
        <v>0.86440512024291483</v>
      </c>
      <c r="H111" s="3">
        <v>0</v>
      </c>
      <c r="I111" s="3">
        <v>0</v>
      </c>
      <c r="J111" s="3">
        <v>0.9200860520892139</v>
      </c>
    </row>
    <row r="112" spans="1:10">
      <c r="A112" s="4">
        <v>46201</v>
      </c>
      <c r="B112" s="2" t="s">
        <v>56</v>
      </c>
      <c r="C112" s="2" t="s">
        <v>57</v>
      </c>
      <c r="D112" s="3">
        <v>9500000</v>
      </c>
      <c r="E112" s="3">
        <v>10083823</v>
      </c>
      <c r="F112" s="3">
        <v>1</v>
      </c>
      <c r="G112" s="3">
        <v>1</v>
      </c>
      <c r="H112" s="3">
        <v>0</v>
      </c>
      <c r="I112" s="3">
        <v>1</v>
      </c>
      <c r="J112" s="3">
        <v>0.77087413224784396</v>
      </c>
    </row>
    <row r="113" spans="1:10">
      <c r="A113" s="4">
        <v>46050</v>
      </c>
      <c r="B113" s="2" t="s">
        <v>58</v>
      </c>
      <c r="C113" s="2" t="s">
        <v>59</v>
      </c>
      <c r="D113" s="3">
        <v>29500000</v>
      </c>
      <c r="E113" s="3">
        <v>5070815</v>
      </c>
      <c r="F113" s="3">
        <v>0.16836044183523879</v>
      </c>
      <c r="G113" s="3">
        <v>0.16836044183523879</v>
      </c>
      <c r="H113" s="3">
        <v>0</v>
      </c>
      <c r="I113" s="3">
        <v>2</v>
      </c>
      <c r="J113" s="3">
        <v>0.97080431948508261</v>
      </c>
    </row>
    <row r="114" spans="1:10">
      <c r="A114" s="4">
        <v>46081</v>
      </c>
      <c r="B114" s="2" t="s">
        <v>58</v>
      </c>
      <c r="C114" s="2" t="s">
        <v>59</v>
      </c>
      <c r="D114" s="3">
        <v>29500000</v>
      </c>
      <c r="E114" s="3">
        <v>8083276</v>
      </c>
      <c r="F114" s="3">
        <v>0.29803937447796608</v>
      </c>
      <c r="G114" s="3">
        <v>0.26620289144625109</v>
      </c>
      <c r="H114" s="3">
        <v>3</v>
      </c>
      <c r="I114" s="3">
        <v>0</v>
      </c>
      <c r="J114" s="3">
        <v>0.73939094369618596</v>
      </c>
    </row>
    <row r="115" spans="1:10">
      <c r="A115" s="4">
        <v>46109</v>
      </c>
      <c r="B115" s="2" t="s">
        <v>58</v>
      </c>
      <c r="C115" s="2" t="s">
        <v>59</v>
      </c>
      <c r="D115" s="3">
        <v>29500000</v>
      </c>
      <c r="E115" s="3">
        <v>14352524</v>
      </c>
      <c r="F115" s="3">
        <v>0.5305710270720474</v>
      </c>
      <c r="G115" s="3">
        <v>0.49863675057337908</v>
      </c>
      <c r="H115" s="3">
        <v>3</v>
      </c>
      <c r="I115" s="3">
        <v>1</v>
      </c>
      <c r="J115" s="3">
        <v>0.8119508722501686</v>
      </c>
    </row>
    <row r="116" spans="1:10">
      <c r="A116" s="4">
        <v>46140</v>
      </c>
      <c r="B116" s="2" t="s">
        <v>58</v>
      </c>
      <c r="C116" s="2" t="s">
        <v>59</v>
      </c>
      <c r="D116" s="3">
        <v>29500000</v>
      </c>
      <c r="E116" s="3">
        <v>17134865</v>
      </c>
      <c r="F116" s="3">
        <v>0.59437604550705447</v>
      </c>
      <c r="G116" s="3">
        <v>0.59437604550705447</v>
      </c>
      <c r="H116" s="3">
        <v>0</v>
      </c>
      <c r="I116" s="3">
        <v>2</v>
      </c>
      <c r="J116" s="3">
        <v>0.82484175630465562</v>
      </c>
    </row>
    <row r="117" spans="1:10">
      <c r="A117" s="4">
        <v>46170</v>
      </c>
      <c r="B117" s="2" t="s">
        <v>58</v>
      </c>
      <c r="C117" s="2" t="s">
        <v>59</v>
      </c>
      <c r="D117" s="3">
        <v>29500000</v>
      </c>
      <c r="E117" s="3">
        <v>28825154</v>
      </c>
      <c r="F117" s="3">
        <v>0.89865532557007433</v>
      </c>
      <c r="G117" s="3">
        <v>0.86645000828582086</v>
      </c>
      <c r="H117" s="3">
        <v>3</v>
      </c>
      <c r="I117" s="3">
        <v>2</v>
      </c>
      <c r="J117" s="3">
        <v>0.86289761685852151</v>
      </c>
    </row>
    <row r="118" spans="1:10">
      <c r="A118" s="4">
        <v>46201</v>
      </c>
      <c r="B118" s="2" t="s">
        <v>58</v>
      </c>
      <c r="C118" s="2" t="s">
        <v>59</v>
      </c>
      <c r="D118" s="3">
        <v>29500000</v>
      </c>
      <c r="E118" s="3">
        <v>26973257</v>
      </c>
      <c r="F118" s="3">
        <v>0.92155285597429282</v>
      </c>
      <c r="G118" s="3">
        <v>0.91970954708672237</v>
      </c>
      <c r="H118" s="3">
        <v>0</v>
      </c>
      <c r="I118" s="3">
        <v>2</v>
      </c>
      <c r="J118" s="3">
        <v>0.89451614046911077</v>
      </c>
    </row>
    <row r="119" spans="1:10">
      <c r="A119" s="4">
        <v>46050</v>
      </c>
      <c r="B119" s="2" t="s">
        <v>60</v>
      </c>
      <c r="C119" s="2" t="s">
        <v>61</v>
      </c>
      <c r="D119" s="3">
        <v>7000000</v>
      </c>
      <c r="E119" s="3">
        <v>1114004</v>
      </c>
      <c r="F119" s="3">
        <v>0.14470542763112909</v>
      </c>
      <c r="G119" s="3">
        <v>0.1413906174785905</v>
      </c>
      <c r="H119" s="3">
        <v>0</v>
      </c>
      <c r="I119" s="3">
        <v>0</v>
      </c>
      <c r="J119" s="3">
        <v>0.94990449059049964</v>
      </c>
    </row>
    <row r="120" spans="1:10">
      <c r="A120" s="4">
        <v>46081</v>
      </c>
      <c r="B120" s="2" t="s">
        <v>60</v>
      </c>
      <c r="C120" s="2" t="s">
        <v>61</v>
      </c>
      <c r="D120" s="3">
        <v>7000000</v>
      </c>
      <c r="E120" s="3">
        <v>2346728</v>
      </c>
      <c r="F120" s="3">
        <v>0.32051335023654598</v>
      </c>
      <c r="G120" s="3">
        <v>0.2967852962351033</v>
      </c>
      <c r="H120" s="3">
        <v>2</v>
      </c>
      <c r="I120" s="3">
        <v>1</v>
      </c>
      <c r="J120" s="3">
        <v>0.8797626579934652</v>
      </c>
    </row>
    <row r="121" spans="1:10">
      <c r="A121" s="4">
        <v>46109</v>
      </c>
      <c r="B121" s="2" t="s">
        <v>60</v>
      </c>
      <c r="C121" s="2" t="s">
        <v>61</v>
      </c>
      <c r="D121" s="3">
        <v>7000000</v>
      </c>
      <c r="E121" s="3">
        <v>3437491</v>
      </c>
      <c r="F121" s="3">
        <v>0.50480030944968213</v>
      </c>
      <c r="G121" s="3">
        <v>0.48050924538926232</v>
      </c>
      <c r="H121" s="3">
        <v>2</v>
      </c>
      <c r="I121" s="3">
        <v>2</v>
      </c>
      <c r="J121" s="3">
        <v>0.82736645821659294</v>
      </c>
    </row>
    <row r="122" spans="1:10">
      <c r="A122" s="4">
        <v>46140</v>
      </c>
      <c r="B122" s="2" t="s">
        <v>60</v>
      </c>
      <c r="C122" s="2" t="s">
        <v>61</v>
      </c>
      <c r="D122" s="3">
        <v>7000000</v>
      </c>
      <c r="E122" s="3">
        <v>4347927</v>
      </c>
      <c r="F122" s="3">
        <v>0.58909992279399603</v>
      </c>
      <c r="G122" s="3">
        <v>0.58909992279399603</v>
      </c>
      <c r="H122" s="3">
        <v>0</v>
      </c>
      <c r="I122" s="3">
        <v>2</v>
      </c>
      <c r="J122" s="3">
        <v>0.8564591493692828</v>
      </c>
    </row>
    <row r="123" spans="1:10">
      <c r="A123" s="4">
        <v>46170</v>
      </c>
      <c r="B123" s="2" t="s">
        <v>60</v>
      </c>
      <c r="C123" s="2" t="s">
        <v>61</v>
      </c>
      <c r="D123" s="3">
        <v>7000000</v>
      </c>
      <c r="E123" s="3">
        <v>5028028</v>
      </c>
      <c r="F123" s="3">
        <v>0.75151523887845051</v>
      </c>
      <c r="G123" s="3">
        <v>0.75151523887845051</v>
      </c>
      <c r="H123" s="3">
        <v>0</v>
      </c>
      <c r="I123" s="3">
        <v>1</v>
      </c>
      <c r="J123" s="3">
        <v>0.87897461280974254</v>
      </c>
    </row>
    <row r="124" spans="1:10">
      <c r="A124" s="4">
        <v>46201</v>
      </c>
      <c r="B124" s="2" t="s">
        <v>60</v>
      </c>
      <c r="C124" s="2" t="s">
        <v>61</v>
      </c>
      <c r="D124" s="3">
        <v>7000000</v>
      </c>
      <c r="E124" s="3">
        <v>7011946</v>
      </c>
      <c r="F124" s="3">
        <v>0.92885913598047232</v>
      </c>
      <c r="G124" s="3">
        <v>0.92207145587681083</v>
      </c>
      <c r="H124" s="3">
        <v>1</v>
      </c>
      <c r="I124" s="3">
        <v>1</v>
      </c>
      <c r="J124" s="3">
        <v>0.82171338701583219</v>
      </c>
    </row>
    <row r="125" spans="1:10">
      <c r="A125" s="4">
        <v>46050</v>
      </c>
      <c r="B125" s="2" t="s">
        <v>62</v>
      </c>
      <c r="C125" s="2" t="s">
        <v>63</v>
      </c>
      <c r="D125" s="3">
        <v>25000000</v>
      </c>
      <c r="E125" s="3">
        <v>4089569</v>
      </c>
      <c r="F125" s="3">
        <v>0.15930808831278601</v>
      </c>
      <c r="G125" s="3">
        <v>0.15930808831278601</v>
      </c>
      <c r="H125" s="3">
        <v>0</v>
      </c>
      <c r="I125" s="3">
        <v>4</v>
      </c>
      <c r="J125" s="3">
        <v>0.8475467350981577</v>
      </c>
    </row>
    <row r="126" spans="1:10">
      <c r="A126" s="4">
        <v>46081</v>
      </c>
      <c r="B126" s="2" t="s">
        <v>62</v>
      </c>
      <c r="C126" s="2" t="s">
        <v>63</v>
      </c>
      <c r="D126" s="3">
        <v>25000000</v>
      </c>
      <c r="E126" s="3">
        <v>8035140</v>
      </c>
      <c r="F126" s="3">
        <v>0.35539353928302603</v>
      </c>
      <c r="G126" s="3">
        <v>0.34041847154511412</v>
      </c>
      <c r="H126" s="3">
        <v>1</v>
      </c>
      <c r="I126" s="3">
        <v>4</v>
      </c>
      <c r="J126" s="3">
        <v>0.81770325860349824</v>
      </c>
    </row>
    <row r="127" spans="1:10">
      <c r="A127" s="4">
        <v>46109</v>
      </c>
      <c r="B127" s="2" t="s">
        <v>62</v>
      </c>
      <c r="C127" s="2" t="s">
        <v>63</v>
      </c>
      <c r="D127" s="3">
        <v>25000000</v>
      </c>
      <c r="E127" s="3">
        <v>13698898</v>
      </c>
      <c r="F127" s="3">
        <v>0.52514903417434788</v>
      </c>
      <c r="G127" s="3">
        <v>0.52514903417434788</v>
      </c>
      <c r="H127" s="3">
        <v>0</v>
      </c>
      <c r="I127" s="3">
        <v>2</v>
      </c>
      <c r="J127" s="3">
        <v>0.80303751844173143</v>
      </c>
    </row>
    <row r="128" spans="1:10">
      <c r="A128" s="4">
        <v>46140</v>
      </c>
      <c r="B128" s="2" t="s">
        <v>62</v>
      </c>
      <c r="C128" s="2" t="s">
        <v>63</v>
      </c>
      <c r="D128" s="3">
        <v>25000000</v>
      </c>
      <c r="E128" s="3">
        <v>14249270</v>
      </c>
      <c r="F128" s="3">
        <v>0.62622091270891844</v>
      </c>
      <c r="G128" s="3">
        <v>0.62622091270891844</v>
      </c>
      <c r="H128" s="3">
        <v>0</v>
      </c>
      <c r="I128" s="3">
        <v>4</v>
      </c>
      <c r="J128" s="3">
        <v>0.7226987802856969</v>
      </c>
    </row>
    <row r="129" spans="1:10">
      <c r="A129" s="4">
        <v>46170</v>
      </c>
      <c r="B129" s="2" t="s">
        <v>62</v>
      </c>
      <c r="C129" s="2" t="s">
        <v>63</v>
      </c>
      <c r="D129" s="3">
        <v>25000000</v>
      </c>
      <c r="E129" s="3">
        <v>20440583</v>
      </c>
      <c r="F129" s="3">
        <v>0.73532772989129791</v>
      </c>
      <c r="G129" s="3">
        <v>0.70172453973858007</v>
      </c>
      <c r="H129" s="3">
        <v>3</v>
      </c>
      <c r="I129" s="3">
        <v>2</v>
      </c>
      <c r="J129" s="3">
        <v>0.83706295838616462</v>
      </c>
    </row>
    <row r="130" spans="1:10">
      <c r="A130" s="4">
        <v>46201</v>
      </c>
      <c r="B130" s="2" t="s">
        <v>62</v>
      </c>
      <c r="C130" s="2" t="s">
        <v>63</v>
      </c>
      <c r="D130" s="3">
        <v>25000000</v>
      </c>
      <c r="E130" s="3">
        <v>19943112</v>
      </c>
      <c r="F130" s="3">
        <v>0.85453252422901427</v>
      </c>
      <c r="G130" s="3">
        <v>0.84243913791150171</v>
      </c>
      <c r="H130" s="3">
        <v>1</v>
      </c>
      <c r="I130" s="3">
        <v>2</v>
      </c>
      <c r="J130" s="3">
        <v>0.85315772333215101</v>
      </c>
    </row>
    <row r="131" spans="1:10">
      <c r="A131" s="4">
        <v>46050</v>
      </c>
      <c r="B131" s="2" t="s">
        <v>64</v>
      </c>
      <c r="C131" s="2" t="s">
        <v>65</v>
      </c>
      <c r="D131" s="3">
        <v>28500000</v>
      </c>
      <c r="E131" s="3">
        <v>5324245</v>
      </c>
      <c r="F131" s="3">
        <v>0.16954518127643711</v>
      </c>
      <c r="G131" s="3">
        <v>0.16954518127643711</v>
      </c>
      <c r="H131" s="3">
        <v>0</v>
      </c>
      <c r="I131" s="3">
        <v>0</v>
      </c>
      <c r="J131" s="3">
        <v>0.85252115736281098</v>
      </c>
    </row>
    <row r="132" spans="1:10">
      <c r="A132" s="4">
        <v>46081</v>
      </c>
      <c r="B132" s="2" t="s">
        <v>64</v>
      </c>
      <c r="C132" s="2" t="s">
        <v>65</v>
      </c>
      <c r="D132" s="3">
        <v>28500000</v>
      </c>
      <c r="E132" s="3">
        <v>9861811</v>
      </c>
      <c r="F132" s="3">
        <v>0.31122312880907882</v>
      </c>
      <c r="G132" s="3">
        <v>0.30662373668094739</v>
      </c>
      <c r="H132" s="3">
        <v>0</v>
      </c>
      <c r="I132" s="3">
        <v>2</v>
      </c>
      <c r="J132" s="3">
        <v>0.86273114497134817</v>
      </c>
    </row>
    <row r="133" spans="1:10">
      <c r="A133" s="4">
        <v>46109</v>
      </c>
      <c r="B133" s="2" t="s">
        <v>64</v>
      </c>
      <c r="C133" s="2" t="s">
        <v>65</v>
      </c>
      <c r="D133" s="3">
        <v>28500000</v>
      </c>
      <c r="E133" s="3">
        <v>12931067</v>
      </c>
      <c r="F133" s="3">
        <v>0.46045078843263909</v>
      </c>
      <c r="G133" s="3">
        <v>0.44904862553407549</v>
      </c>
      <c r="H133" s="3">
        <v>1</v>
      </c>
      <c r="I133" s="3">
        <v>2</v>
      </c>
      <c r="J133" s="3">
        <v>0.76307748195276681</v>
      </c>
    </row>
    <row r="134" spans="1:10">
      <c r="A134" s="4">
        <v>46140</v>
      </c>
      <c r="B134" s="2" t="s">
        <v>64</v>
      </c>
      <c r="C134" s="2" t="s">
        <v>65</v>
      </c>
      <c r="D134" s="3">
        <v>28500000</v>
      </c>
      <c r="E134" s="3">
        <v>19081007</v>
      </c>
      <c r="F134" s="3">
        <v>0.68163199646249772</v>
      </c>
      <c r="G134" s="3">
        <v>0.66840147197251853</v>
      </c>
      <c r="H134" s="3">
        <v>1</v>
      </c>
      <c r="I134" s="3">
        <v>2</v>
      </c>
      <c r="J134" s="3">
        <v>0.76622935720147056</v>
      </c>
    </row>
    <row r="135" spans="1:10">
      <c r="A135" s="4">
        <v>46170</v>
      </c>
      <c r="B135" s="2" t="s">
        <v>64</v>
      </c>
      <c r="C135" s="2" t="s">
        <v>65</v>
      </c>
      <c r="D135" s="3">
        <v>28500000</v>
      </c>
      <c r="E135" s="3">
        <v>21961902</v>
      </c>
      <c r="F135" s="3">
        <v>0.86220502500881002</v>
      </c>
      <c r="G135" s="3">
        <v>0.84079597023985841</v>
      </c>
      <c r="H135" s="3">
        <v>2</v>
      </c>
      <c r="I135" s="3">
        <v>0</v>
      </c>
      <c r="J135" s="3">
        <v>0.80362206689421378</v>
      </c>
    </row>
    <row r="136" spans="1:10">
      <c r="A136" s="4">
        <v>46201</v>
      </c>
      <c r="B136" s="2" t="s">
        <v>64</v>
      </c>
      <c r="C136" s="2" t="s">
        <v>65</v>
      </c>
      <c r="D136" s="3">
        <v>28500000</v>
      </c>
      <c r="E136" s="3">
        <v>23198311</v>
      </c>
      <c r="F136" s="3">
        <v>0.89442130007731147</v>
      </c>
      <c r="G136" s="3">
        <v>0.89442130007731147</v>
      </c>
      <c r="H136" s="3">
        <v>0</v>
      </c>
      <c r="I136" s="3">
        <v>2</v>
      </c>
      <c r="J136" s="3">
        <v>0.88844721227249668</v>
      </c>
    </row>
    <row r="137" spans="1:10">
      <c r="A137" s="4">
        <v>46050</v>
      </c>
      <c r="B137" s="2" t="s">
        <v>66</v>
      </c>
      <c r="C137" s="2" t="s">
        <v>67</v>
      </c>
      <c r="D137" s="3">
        <v>11500000</v>
      </c>
      <c r="E137" s="3">
        <v>2019464</v>
      </c>
      <c r="F137" s="3">
        <v>0.16061496020701849</v>
      </c>
      <c r="G137" s="3">
        <v>0.14711955085952519</v>
      </c>
      <c r="H137" s="3">
        <v>1</v>
      </c>
      <c r="I137" s="3">
        <v>1</v>
      </c>
      <c r="J137" s="3">
        <v>0.75219087471723756</v>
      </c>
    </row>
    <row r="138" spans="1:10">
      <c r="A138" s="4">
        <v>46081</v>
      </c>
      <c r="B138" s="2" t="s">
        <v>66</v>
      </c>
      <c r="C138" s="2" t="s">
        <v>67</v>
      </c>
      <c r="D138" s="3">
        <v>11500000</v>
      </c>
      <c r="E138" s="3">
        <v>3701805</v>
      </c>
      <c r="F138" s="3">
        <v>0.30438556550485929</v>
      </c>
      <c r="G138" s="3">
        <v>0.30438556550485929</v>
      </c>
      <c r="H138" s="3">
        <v>0</v>
      </c>
      <c r="I138" s="3">
        <v>0</v>
      </c>
      <c r="J138" s="3">
        <v>0.79323244568160678</v>
      </c>
    </row>
    <row r="139" spans="1:10">
      <c r="A139" s="4">
        <v>46109</v>
      </c>
      <c r="B139" s="2" t="s">
        <v>66</v>
      </c>
      <c r="C139" s="2" t="s">
        <v>67</v>
      </c>
      <c r="D139" s="3">
        <v>11500000</v>
      </c>
      <c r="E139" s="3">
        <v>5352628</v>
      </c>
      <c r="F139" s="3">
        <v>0.50959646063895858</v>
      </c>
      <c r="G139" s="3">
        <v>0.48325373172401759</v>
      </c>
      <c r="H139" s="3">
        <v>2</v>
      </c>
      <c r="I139" s="3">
        <v>1</v>
      </c>
      <c r="J139" s="3">
        <v>0.75487992127452619</v>
      </c>
    </row>
    <row r="140" spans="1:10">
      <c r="A140" s="4">
        <v>46140</v>
      </c>
      <c r="B140" s="2" t="s">
        <v>66</v>
      </c>
      <c r="C140" s="2" t="s">
        <v>67</v>
      </c>
      <c r="D140" s="3">
        <v>11500000</v>
      </c>
      <c r="E140" s="3">
        <v>6645922</v>
      </c>
      <c r="F140" s="3">
        <v>0.60651926716885951</v>
      </c>
      <c r="G140" s="3">
        <v>0.57219719007386338</v>
      </c>
      <c r="H140" s="3">
        <v>3</v>
      </c>
      <c r="I140" s="3">
        <v>0</v>
      </c>
      <c r="J140" s="3">
        <v>0.82925676804597537</v>
      </c>
    </row>
    <row r="141" spans="1:10">
      <c r="A141" s="4">
        <v>46170</v>
      </c>
      <c r="B141" s="2" t="s">
        <v>66</v>
      </c>
      <c r="C141" s="2" t="s">
        <v>67</v>
      </c>
      <c r="D141" s="3">
        <v>11500000</v>
      </c>
      <c r="E141" s="3">
        <v>7254209</v>
      </c>
      <c r="F141" s="3">
        <v>0.71352868350502852</v>
      </c>
      <c r="G141" s="3">
        <v>0.68732490490941944</v>
      </c>
      <c r="H141" s="3">
        <v>2</v>
      </c>
      <c r="I141" s="3">
        <v>0</v>
      </c>
      <c r="J141" s="3">
        <v>0.82968345864292736</v>
      </c>
    </row>
    <row r="142" spans="1:10">
      <c r="A142" s="4">
        <v>46201</v>
      </c>
      <c r="B142" s="2" t="s">
        <v>66</v>
      </c>
      <c r="C142" s="2" t="s">
        <v>67</v>
      </c>
      <c r="D142" s="3">
        <v>11500000</v>
      </c>
      <c r="E142" s="3">
        <v>12057566</v>
      </c>
      <c r="F142" s="3">
        <v>1</v>
      </c>
      <c r="G142" s="3">
        <v>0.99325974781667314</v>
      </c>
      <c r="H142" s="3">
        <v>1</v>
      </c>
      <c r="I142" s="3">
        <v>2</v>
      </c>
      <c r="J142" s="3">
        <v>0.96199383991613607</v>
      </c>
    </row>
    <row r="143" spans="1:10">
      <c r="A143" s="4">
        <v>46050</v>
      </c>
      <c r="B143" s="2" t="s">
        <v>68</v>
      </c>
      <c r="C143" s="2" t="s">
        <v>69</v>
      </c>
      <c r="D143" s="3">
        <v>5500000</v>
      </c>
      <c r="E143" s="3">
        <v>926629</v>
      </c>
      <c r="F143" s="3">
        <v>0.15236454987465561</v>
      </c>
      <c r="G143" s="3">
        <v>0.15236454987465561</v>
      </c>
      <c r="H143" s="3">
        <v>0</v>
      </c>
      <c r="I143" s="3">
        <v>0</v>
      </c>
      <c r="J143" s="3">
        <v>0.89900708682699926</v>
      </c>
    </row>
    <row r="144" spans="1:10">
      <c r="A144" s="4">
        <v>46081</v>
      </c>
      <c r="B144" s="2" t="s">
        <v>68</v>
      </c>
      <c r="C144" s="2" t="s">
        <v>69</v>
      </c>
      <c r="D144" s="3">
        <v>5500000</v>
      </c>
      <c r="E144" s="3">
        <v>1625900</v>
      </c>
      <c r="F144" s="3">
        <v>0.30355757932986871</v>
      </c>
      <c r="G144" s="3">
        <v>0.2693190324701743</v>
      </c>
      <c r="H144" s="3">
        <v>3</v>
      </c>
      <c r="I144" s="3">
        <v>0</v>
      </c>
      <c r="J144" s="3">
        <v>0.89303891272441094</v>
      </c>
    </row>
    <row r="145" spans="1:10">
      <c r="A145" s="4">
        <v>46109</v>
      </c>
      <c r="B145" s="2" t="s">
        <v>68</v>
      </c>
      <c r="C145" s="2" t="s">
        <v>69</v>
      </c>
      <c r="D145" s="3">
        <v>5500000</v>
      </c>
      <c r="E145" s="3">
        <v>2708640</v>
      </c>
      <c r="F145" s="3">
        <v>0.51109486805955762</v>
      </c>
      <c r="G145" s="3">
        <v>0.51109486805955762</v>
      </c>
      <c r="H145" s="3">
        <v>0</v>
      </c>
      <c r="I145" s="3">
        <v>0</v>
      </c>
      <c r="J145" s="3">
        <v>0.94714235767279698</v>
      </c>
    </row>
    <row r="146" spans="1:10">
      <c r="A146" s="4">
        <v>46140</v>
      </c>
      <c r="B146" s="2" t="s">
        <v>68</v>
      </c>
      <c r="C146" s="2" t="s">
        <v>69</v>
      </c>
      <c r="D146" s="3">
        <v>5500000</v>
      </c>
      <c r="E146" s="3">
        <v>3911142</v>
      </c>
      <c r="F146" s="3">
        <v>0.67604432750853738</v>
      </c>
      <c r="G146" s="3">
        <v>0.67604432750853738</v>
      </c>
      <c r="H146" s="3">
        <v>0</v>
      </c>
      <c r="I146" s="3">
        <v>2</v>
      </c>
      <c r="J146" s="3">
        <v>0.92886281450628583</v>
      </c>
    </row>
    <row r="147" spans="1:10">
      <c r="A147" s="4">
        <v>46170</v>
      </c>
      <c r="B147" s="2" t="s">
        <v>68</v>
      </c>
      <c r="C147" s="2" t="s">
        <v>69</v>
      </c>
      <c r="D147" s="3">
        <v>5500000</v>
      </c>
      <c r="E147" s="3">
        <v>3997130</v>
      </c>
      <c r="F147" s="3">
        <v>0.71528322983889103</v>
      </c>
      <c r="G147" s="3">
        <v>0.70243251281957886</v>
      </c>
      <c r="H147" s="3">
        <v>1</v>
      </c>
      <c r="I147" s="3">
        <v>2</v>
      </c>
      <c r="J147" s="3">
        <v>0.80839479213424881</v>
      </c>
    </row>
    <row r="148" spans="1:10">
      <c r="A148" s="4">
        <v>46201</v>
      </c>
      <c r="B148" s="2" t="s">
        <v>68</v>
      </c>
      <c r="C148" s="2" t="s">
        <v>69</v>
      </c>
      <c r="D148" s="3">
        <v>5500000</v>
      </c>
      <c r="E148" s="3">
        <v>5986413</v>
      </c>
      <c r="F148" s="3">
        <v>1</v>
      </c>
      <c r="G148" s="3">
        <v>0.9980371694668162</v>
      </c>
      <c r="H148" s="3">
        <v>0</v>
      </c>
      <c r="I148" s="3">
        <v>1</v>
      </c>
      <c r="J148" s="3">
        <v>0.88169290118770782</v>
      </c>
    </row>
    <row r="149" spans="1:10">
      <c r="A149" s="4">
        <v>46050</v>
      </c>
      <c r="B149" s="2" t="s">
        <v>70</v>
      </c>
      <c r="C149" s="2" t="s">
        <v>71</v>
      </c>
      <c r="D149" s="3">
        <v>15500000</v>
      </c>
      <c r="E149" s="3">
        <v>4657556</v>
      </c>
      <c r="F149" s="3">
        <v>0.14792667058029241</v>
      </c>
      <c r="G149" s="3">
        <v>0.13260117559565021</v>
      </c>
      <c r="H149" s="3">
        <v>1</v>
      </c>
      <c r="I149" s="3">
        <v>1</v>
      </c>
      <c r="J149" s="3">
        <v>1.195367589835082</v>
      </c>
    </row>
    <row r="150" spans="1:10">
      <c r="A150" s="4">
        <v>46081</v>
      </c>
      <c r="B150" s="2" t="s">
        <v>70</v>
      </c>
      <c r="C150" s="2" t="s">
        <v>71</v>
      </c>
      <c r="D150" s="3">
        <v>15500000</v>
      </c>
      <c r="E150" s="3">
        <v>6590794</v>
      </c>
      <c r="F150" s="3">
        <v>0.28617280694189279</v>
      </c>
      <c r="G150" s="3">
        <v>0.28617280694189279</v>
      </c>
      <c r="H150" s="3">
        <v>0</v>
      </c>
      <c r="I150" s="3">
        <v>2</v>
      </c>
      <c r="J150" s="3">
        <v>1.081495196820315</v>
      </c>
    </row>
    <row r="151" spans="1:10">
      <c r="A151" s="4">
        <v>46109</v>
      </c>
      <c r="B151" s="2" t="s">
        <v>70</v>
      </c>
      <c r="C151" s="2" t="s">
        <v>71</v>
      </c>
      <c r="D151" s="3">
        <v>15500000</v>
      </c>
      <c r="E151" s="3">
        <v>9420649</v>
      </c>
      <c r="F151" s="3">
        <v>0.45844283844984929</v>
      </c>
      <c r="G151" s="3">
        <v>0.30744874440198627</v>
      </c>
      <c r="H151" s="3">
        <v>14</v>
      </c>
      <c r="I151" s="3">
        <v>4</v>
      </c>
      <c r="J151" s="3">
        <v>1.174570879946222</v>
      </c>
    </row>
    <row r="152" spans="1:10">
      <c r="A152" s="4">
        <v>46140</v>
      </c>
      <c r="B152" s="2" t="s">
        <v>70</v>
      </c>
      <c r="C152" s="2" t="s">
        <v>71</v>
      </c>
      <c r="D152" s="3">
        <v>15500000</v>
      </c>
      <c r="E152" s="3">
        <v>12865109</v>
      </c>
      <c r="F152" s="3">
        <v>0.65194069840586866</v>
      </c>
      <c r="G152" s="3">
        <v>0.51128354629511374</v>
      </c>
      <c r="H152" s="3">
        <v>13</v>
      </c>
      <c r="I152" s="3">
        <v>4</v>
      </c>
      <c r="J152" s="3">
        <v>1.0952023858973741</v>
      </c>
    </row>
    <row r="153" spans="1:10">
      <c r="A153" s="4">
        <v>46170</v>
      </c>
      <c r="B153" s="2" t="s">
        <v>70</v>
      </c>
      <c r="C153" s="2" t="s">
        <v>71</v>
      </c>
      <c r="D153" s="3">
        <v>15500000</v>
      </c>
      <c r="E153" s="3">
        <v>14069999</v>
      </c>
      <c r="F153" s="3">
        <v>0.85498061238641954</v>
      </c>
      <c r="G153" s="3">
        <v>0.70227680317967278</v>
      </c>
      <c r="H153" s="3">
        <v>14</v>
      </c>
      <c r="I153" s="3">
        <v>4</v>
      </c>
      <c r="J153" s="3">
        <v>0.95416433544896506</v>
      </c>
    </row>
    <row r="154" spans="1:10">
      <c r="A154" s="4">
        <v>46201</v>
      </c>
      <c r="B154" s="2" t="s">
        <v>70</v>
      </c>
      <c r="C154" s="2" t="s">
        <v>71</v>
      </c>
      <c r="D154" s="3">
        <v>15500000</v>
      </c>
      <c r="E154" s="3">
        <v>17520190</v>
      </c>
      <c r="F154" s="3">
        <v>1</v>
      </c>
      <c r="G154" s="3">
        <v>0.85352435116096448</v>
      </c>
      <c r="H154" s="3">
        <v>13</v>
      </c>
      <c r="I154" s="3">
        <v>3</v>
      </c>
      <c r="J154" s="3">
        <v>1.105909384529463</v>
      </c>
    </row>
    <row r="155" spans="1:10">
      <c r="A155" s="4">
        <v>46050</v>
      </c>
      <c r="B155" s="2" t="s">
        <v>72</v>
      </c>
      <c r="C155" s="2" t="s">
        <v>73</v>
      </c>
      <c r="D155" s="3">
        <v>10000000</v>
      </c>
      <c r="E155" s="3">
        <v>1717381</v>
      </c>
      <c r="F155" s="3">
        <v>0.1785566925401986</v>
      </c>
      <c r="G155" s="3">
        <v>0.1785566925401986</v>
      </c>
      <c r="H155" s="3">
        <v>0</v>
      </c>
      <c r="I155" s="3">
        <v>2</v>
      </c>
      <c r="J155" s="3">
        <v>0.73710404722581668</v>
      </c>
    </row>
    <row r="156" spans="1:10">
      <c r="A156" s="4">
        <v>46081</v>
      </c>
      <c r="B156" s="2" t="s">
        <v>72</v>
      </c>
      <c r="C156" s="2" t="s">
        <v>73</v>
      </c>
      <c r="D156" s="3">
        <v>10000000</v>
      </c>
      <c r="E156" s="3">
        <v>3195822</v>
      </c>
      <c r="F156" s="3">
        <v>0.28916968432207069</v>
      </c>
      <c r="G156" s="3">
        <v>0.28916968432207069</v>
      </c>
      <c r="H156" s="3">
        <v>0</v>
      </c>
      <c r="I156" s="3">
        <v>3</v>
      </c>
      <c r="J156" s="3">
        <v>0.80855650876274887</v>
      </c>
    </row>
    <row r="157" spans="1:10">
      <c r="A157" s="4">
        <v>46109</v>
      </c>
      <c r="B157" s="2" t="s">
        <v>72</v>
      </c>
      <c r="C157" s="2" t="s">
        <v>73</v>
      </c>
      <c r="D157" s="3">
        <v>10000000</v>
      </c>
      <c r="E157" s="3">
        <v>5232778</v>
      </c>
      <c r="F157" s="3">
        <v>0.47740217279324398</v>
      </c>
      <c r="G157" s="3">
        <v>0.44620349774741269</v>
      </c>
      <c r="H157" s="3">
        <v>3</v>
      </c>
      <c r="I157" s="3">
        <v>2</v>
      </c>
      <c r="J157" s="3">
        <v>0.96265199202892937</v>
      </c>
    </row>
    <row r="158" spans="1:10">
      <c r="A158" s="4">
        <v>46140</v>
      </c>
      <c r="B158" s="2" t="s">
        <v>72</v>
      </c>
      <c r="C158" s="2" t="s">
        <v>73</v>
      </c>
      <c r="D158" s="3">
        <v>10000000</v>
      </c>
      <c r="E158" s="3">
        <v>6626652</v>
      </c>
      <c r="F158" s="3">
        <v>0.666925407022261</v>
      </c>
      <c r="G158" s="3">
        <v>0.666925407022261</v>
      </c>
      <c r="H158" s="3">
        <v>0</v>
      </c>
      <c r="I158" s="3">
        <v>3</v>
      </c>
      <c r="J158" s="3">
        <v>0.85431927289155762</v>
      </c>
    </row>
    <row r="159" spans="1:10">
      <c r="A159" s="4">
        <v>46170</v>
      </c>
      <c r="B159" s="2" t="s">
        <v>72</v>
      </c>
      <c r="C159" s="2" t="s">
        <v>73</v>
      </c>
      <c r="D159" s="3">
        <v>10000000</v>
      </c>
      <c r="E159" s="3">
        <v>7431856</v>
      </c>
      <c r="F159" s="3">
        <v>0.7192101292333446</v>
      </c>
      <c r="G159" s="3">
        <v>0.69365692768833553</v>
      </c>
      <c r="H159" s="3">
        <v>2</v>
      </c>
      <c r="I159" s="3">
        <v>4</v>
      </c>
      <c r="J159" s="3">
        <v>0.77865461954678428</v>
      </c>
    </row>
    <row r="160" spans="1:10">
      <c r="A160" s="4">
        <v>46201</v>
      </c>
      <c r="B160" s="2" t="s">
        <v>72</v>
      </c>
      <c r="C160" s="2" t="s">
        <v>73</v>
      </c>
      <c r="D160" s="3">
        <v>10000000</v>
      </c>
      <c r="E160" s="3">
        <v>11088074</v>
      </c>
      <c r="F160" s="3">
        <v>1</v>
      </c>
      <c r="G160" s="3">
        <v>0.97790742003341069</v>
      </c>
      <c r="H160" s="3">
        <v>2</v>
      </c>
      <c r="I160" s="3">
        <v>4</v>
      </c>
      <c r="J160" s="3">
        <v>0.72047743703080902</v>
      </c>
    </row>
    <row r="161" spans="1:10">
      <c r="A161" s="4">
        <v>46050</v>
      </c>
      <c r="B161" s="2" t="s">
        <v>74</v>
      </c>
      <c r="C161" s="2" t="s">
        <v>75</v>
      </c>
      <c r="D161" s="3">
        <v>24500000</v>
      </c>
      <c r="E161" s="3">
        <v>4454741</v>
      </c>
      <c r="F161" s="3">
        <v>0.16894537501654089</v>
      </c>
      <c r="G161" s="3">
        <v>0.15151978508486821</v>
      </c>
      <c r="H161" s="3">
        <v>2</v>
      </c>
      <c r="I161" s="3">
        <v>0</v>
      </c>
      <c r="J161" s="3">
        <v>0.75778112757317251</v>
      </c>
    </row>
    <row r="162" spans="1:10">
      <c r="A162" s="4">
        <v>46081</v>
      </c>
      <c r="B162" s="2" t="s">
        <v>74</v>
      </c>
      <c r="C162" s="2" t="s">
        <v>75</v>
      </c>
      <c r="D162" s="3">
        <v>24500000</v>
      </c>
      <c r="E162" s="3">
        <v>7177746</v>
      </c>
      <c r="F162" s="3">
        <v>0.29246794797458381</v>
      </c>
      <c r="G162" s="3">
        <v>0.27650438430326663</v>
      </c>
      <c r="H162" s="3">
        <v>1</v>
      </c>
      <c r="I162" s="3">
        <v>0</v>
      </c>
      <c r="J162" s="3">
        <v>0.79131405209361283</v>
      </c>
    </row>
    <row r="163" spans="1:10">
      <c r="A163" s="4">
        <v>46109</v>
      </c>
      <c r="B163" s="2" t="s">
        <v>74</v>
      </c>
      <c r="C163" s="2" t="s">
        <v>75</v>
      </c>
      <c r="D163" s="3">
        <v>24500000</v>
      </c>
      <c r="E163" s="3">
        <v>9776202</v>
      </c>
      <c r="F163" s="3">
        <v>0.43604686226483058</v>
      </c>
      <c r="G163" s="3">
        <v>0.43604686226483058</v>
      </c>
      <c r="H163" s="3">
        <v>0</v>
      </c>
      <c r="I163" s="3">
        <v>0</v>
      </c>
      <c r="J163" s="3">
        <v>0.79412927031961655</v>
      </c>
    </row>
    <row r="164" spans="1:10">
      <c r="A164" s="4">
        <v>46140</v>
      </c>
      <c r="B164" s="2" t="s">
        <v>74</v>
      </c>
      <c r="C164" s="2" t="s">
        <v>75</v>
      </c>
      <c r="D164" s="3">
        <v>24500000</v>
      </c>
      <c r="E164" s="3">
        <v>16141392</v>
      </c>
      <c r="F164" s="3">
        <v>0.67302301376269202</v>
      </c>
      <c r="G164" s="3">
        <v>0.64354005313606</v>
      </c>
      <c r="H164" s="3">
        <v>3</v>
      </c>
      <c r="I164" s="3">
        <v>0</v>
      </c>
      <c r="J164" s="3">
        <v>0.77722747600916919</v>
      </c>
    </row>
    <row r="165" spans="1:10">
      <c r="A165" s="4">
        <v>46170</v>
      </c>
      <c r="B165" s="2" t="s">
        <v>74</v>
      </c>
      <c r="C165" s="2" t="s">
        <v>75</v>
      </c>
      <c r="D165" s="3">
        <v>24500000</v>
      </c>
      <c r="E165" s="3">
        <v>19803543</v>
      </c>
      <c r="F165" s="3">
        <v>0.73965700474712615</v>
      </c>
      <c r="G165" s="3">
        <v>0.73597630198386532</v>
      </c>
      <c r="H165" s="3">
        <v>0</v>
      </c>
      <c r="I165" s="3">
        <v>2</v>
      </c>
      <c r="J165" s="3">
        <v>0.73018246073648108</v>
      </c>
    </row>
    <row r="166" spans="1:10">
      <c r="A166" s="4">
        <v>46201</v>
      </c>
      <c r="B166" s="2" t="s">
        <v>74</v>
      </c>
      <c r="C166" s="2" t="s">
        <v>75</v>
      </c>
      <c r="D166" s="3">
        <v>24500000</v>
      </c>
      <c r="E166" s="3">
        <v>22755315</v>
      </c>
      <c r="F166" s="3">
        <v>0.92853270786301645</v>
      </c>
      <c r="G166" s="3">
        <v>0.92853270786301645</v>
      </c>
      <c r="H166" s="3">
        <v>0</v>
      </c>
      <c r="I166" s="3">
        <v>2</v>
      </c>
      <c r="J166" s="3">
        <v>0.8414900441325035</v>
      </c>
    </row>
    <row r="167" spans="1:10">
      <c r="A167" s="4">
        <v>46050</v>
      </c>
      <c r="B167" s="2" t="s">
        <v>76</v>
      </c>
      <c r="C167" s="2" t="s">
        <v>77</v>
      </c>
      <c r="D167" s="3">
        <v>19000000</v>
      </c>
      <c r="E167" s="3">
        <v>3165092</v>
      </c>
      <c r="F167" s="3">
        <v>0.16631840691505001</v>
      </c>
      <c r="G167" s="3">
        <v>0.15747120548537991</v>
      </c>
      <c r="H167" s="3">
        <v>1</v>
      </c>
      <c r="I167" s="3">
        <v>1</v>
      </c>
      <c r="J167" s="3">
        <v>0.81003792381437045</v>
      </c>
    </row>
    <row r="168" spans="1:10">
      <c r="A168" s="4">
        <v>46081</v>
      </c>
      <c r="B168" s="2" t="s">
        <v>76</v>
      </c>
      <c r="C168" s="2" t="s">
        <v>77</v>
      </c>
      <c r="D168" s="3">
        <v>19000000</v>
      </c>
      <c r="E168" s="3">
        <v>6471222</v>
      </c>
      <c r="F168" s="3">
        <v>0.31393960873379673</v>
      </c>
      <c r="G168" s="3">
        <v>0.30114395829514762</v>
      </c>
      <c r="H168" s="3">
        <v>1</v>
      </c>
      <c r="I168" s="3">
        <v>2</v>
      </c>
      <c r="J168" s="3">
        <v>0.80273515868078427</v>
      </c>
    </row>
    <row r="169" spans="1:10">
      <c r="A169" s="4">
        <v>46109</v>
      </c>
      <c r="B169" s="2" t="s">
        <v>76</v>
      </c>
      <c r="C169" s="2" t="s">
        <v>77</v>
      </c>
      <c r="D169" s="3">
        <v>19000000</v>
      </c>
      <c r="E169" s="3">
        <v>11065004</v>
      </c>
      <c r="F169" s="3">
        <v>0.52235654188673031</v>
      </c>
      <c r="G169" s="3">
        <v>0.52214667754340083</v>
      </c>
      <c r="H169" s="3">
        <v>0</v>
      </c>
      <c r="I169" s="3">
        <v>1</v>
      </c>
      <c r="J169" s="3">
        <v>0.84157556589766491</v>
      </c>
    </row>
    <row r="170" spans="1:10">
      <c r="A170" s="4">
        <v>46140</v>
      </c>
      <c r="B170" s="2" t="s">
        <v>76</v>
      </c>
      <c r="C170" s="2" t="s">
        <v>77</v>
      </c>
      <c r="D170" s="3">
        <v>19000000</v>
      </c>
      <c r="E170" s="3">
        <v>12183902</v>
      </c>
      <c r="F170" s="3">
        <v>0.66575483995339835</v>
      </c>
      <c r="G170" s="3">
        <v>0.65936911382398855</v>
      </c>
      <c r="H170" s="3">
        <v>1</v>
      </c>
      <c r="I170" s="3">
        <v>0</v>
      </c>
      <c r="J170" s="3">
        <v>0.93708056551991747</v>
      </c>
    </row>
    <row r="171" spans="1:10">
      <c r="A171" s="4">
        <v>46170</v>
      </c>
      <c r="B171" s="2" t="s">
        <v>76</v>
      </c>
      <c r="C171" s="2" t="s">
        <v>77</v>
      </c>
      <c r="D171" s="3">
        <v>19000000</v>
      </c>
      <c r="E171" s="3">
        <v>14297178</v>
      </c>
      <c r="F171" s="3">
        <v>0.81263211778540567</v>
      </c>
      <c r="G171" s="3">
        <v>0.81263211778540567</v>
      </c>
      <c r="H171" s="3">
        <v>0</v>
      </c>
      <c r="I171" s="3">
        <v>1</v>
      </c>
      <c r="J171" s="3">
        <v>0.954077071353994</v>
      </c>
    </row>
    <row r="172" spans="1:10">
      <c r="A172" s="4">
        <v>46201</v>
      </c>
      <c r="B172" s="2" t="s">
        <v>76</v>
      </c>
      <c r="C172" s="2" t="s">
        <v>77</v>
      </c>
      <c r="D172" s="3">
        <v>19000000</v>
      </c>
      <c r="E172" s="3">
        <v>20288758</v>
      </c>
      <c r="F172" s="3">
        <v>1</v>
      </c>
      <c r="G172" s="3">
        <v>1</v>
      </c>
      <c r="H172" s="3">
        <v>0</v>
      </c>
      <c r="I172" s="3">
        <v>2</v>
      </c>
      <c r="J172" s="3">
        <v>0.81541831285657229</v>
      </c>
    </row>
    <row r="173" spans="1:10">
      <c r="A173" s="4">
        <v>46050</v>
      </c>
      <c r="B173" s="2" t="s">
        <v>78</v>
      </c>
      <c r="C173" s="2" t="s">
        <v>79</v>
      </c>
      <c r="D173" s="3">
        <v>28000000</v>
      </c>
      <c r="E173" s="3">
        <v>4941333</v>
      </c>
      <c r="F173" s="3">
        <v>0.1786528717115603</v>
      </c>
      <c r="G173" s="3">
        <v>0.14897047890233861</v>
      </c>
      <c r="H173" s="3">
        <v>3</v>
      </c>
      <c r="I173" s="3">
        <v>2</v>
      </c>
      <c r="J173" s="3">
        <v>0.73367440908553549</v>
      </c>
    </row>
    <row r="174" spans="1:10">
      <c r="A174" s="4">
        <v>46081</v>
      </c>
      <c r="B174" s="2" t="s">
        <v>78</v>
      </c>
      <c r="C174" s="2" t="s">
        <v>79</v>
      </c>
      <c r="D174" s="3">
        <v>28000000</v>
      </c>
      <c r="E174" s="3">
        <v>9809509</v>
      </c>
      <c r="F174" s="3">
        <v>0.35433029023555918</v>
      </c>
      <c r="G174" s="3">
        <v>0.34850599872673721</v>
      </c>
      <c r="H174" s="3">
        <v>1</v>
      </c>
      <c r="I174" s="3">
        <v>0</v>
      </c>
      <c r="J174" s="3">
        <v>0.88614373896367127</v>
      </c>
    </row>
    <row r="175" spans="1:10">
      <c r="A175" s="4">
        <v>46109</v>
      </c>
      <c r="B175" s="2" t="s">
        <v>78</v>
      </c>
      <c r="C175" s="2" t="s">
        <v>79</v>
      </c>
      <c r="D175" s="3">
        <v>28000000</v>
      </c>
      <c r="E175" s="3">
        <v>12450041</v>
      </c>
      <c r="F175" s="3">
        <v>0.4580513437270845</v>
      </c>
      <c r="G175" s="3">
        <v>0.4580513437270845</v>
      </c>
      <c r="H175" s="3">
        <v>0</v>
      </c>
      <c r="I175" s="3">
        <v>1</v>
      </c>
      <c r="J175" s="3">
        <v>0.76255033997887589</v>
      </c>
    </row>
    <row r="176" spans="1:10">
      <c r="A176" s="4">
        <v>46140</v>
      </c>
      <c r="B176" s="2" t="s">
        <v>78</v>
      </c>
      <c r="C176" s="2" t="s">
        <v>79</v>
      </c>
      <c r="D176" s="3">
        <v>28000000</v>
      </c>
      <c r="E176" s="3">
        <v>18844601</v>
      </c>
      <c r="F176" s="3">
        <v>0.71400876566628535</v>
      </c>
      <c r="G176" s="3">
        <v>0.68508011495050791</v>
      </c>
      <c r="H176" s="3">
        <v>3</v>
      </c>
      <c r="I176" s="3">
        <v>1</v>
      </c>
      <c r="J176" s="3">
        <v>0.90250299200623352</v>
      </c>
    </row>
    <row r="177" spans="1:10">
      <c r="A177" s="4">
        <v>46170</v>
      </c>
      <c r="B177" s="2" t="s">
        <v>78</v>
      </c>
      <c r="C177" s="2" t="s">
        <v>79</v>
      </c>
      <c r="D177" s="3">
        <v>28000000</v>
      </c>
      <c r="E177" s="3">
        <v>23846579</v>
      </c>
      <c r="F177" s="3">
        <v>0.79201207027669185</v>
      </c>
      <c r="G177" s="3">
        <v>0.76850137748765013</v>
      </c>
      <c r="H177" s="3">
        <v>2</v>
      </c>
      <c r="I177" s="3">
        <v>0</v>
      </c>
      <c r="J177" s="3">
        <v>0.75801620297631356</v>
      </c>
    </row>
    <row r="178" spans="1:10">
      <c r="A178" s="4">
        <v>46201</v>
      </c>
      <c r="B178" s="2" t="s">
        <v>78</v>
      </c>
      <c r="C178" s="2" t="s">
        <v>79</v>
      </c>
      <c r="D178" s="3">
        <v>28000000</v>
      </c>
      <c r="E178" s="3">
        <v>29448486</v>
      </c>
      <c r="F178" s="3">
        <v>1</v>
      </c>
      <c r="G178" s="3">
        <v>1</v>
      </c>
      <c r="H178" s="3">
        <v>0</v>
      </c>
      <c r="I178" s="3">
        <v>1</v>
      </c>
      <c r="J178" s="3">
        <v>0.76377092402214131</v>
      </c>
    </row>
    <row r="179" spans="1:10">
      <c r="A179" s="4">
        <v>46050</v>
      </c>
      <c r="B179" s="2" t="s">
        <v>80</v>
      </c>
      <c r="C179" s="2" t="s">
        <v>81</v>
      </c>
      <c r="D179" s="3">
        <v>20000000</v>
      </c>
      <c r="E179" s="3">
        <v>3382839</v>
      </c>
      <c r="F179" s="3">
        <v>0.17599376406843731</v>
      </c>
      <c r="G179" s="3">
        <v>0.14117456719869009</v>
      </c>
      <c r="H179" s="3">
        <v>3</v>
      </c>
      <c r="I179" s="3">
        <v>2</v>
      </c>
      <c r="J179" s="3">
        <v>0.8288568480915075</v>
      </c>
    </row>
    <row r="180" spans="1:10">
      <c r="A180" s="4">
        <v>46081</v>
      </c>
      <c r="B180" s="2" t="s">
        <v>80</v>
      </c>
      <c r="C180" s="2" t="s">
        <v>81</v>
      </c>
      <c r="D180" s="3">
        <v>20000000</v>
      </c>
      <c r="E180" s="3">
        <v>7546644</v>
      </c>
      <c r="F180" s="3">
        <v>0.35312385586205269</v>
      </c>
      <c r="G180" s="3">
        <v>0.32285695028287448</v>
      </c>
      <c r="H180" s="3">
        <v>3</v>
      </c>
      <c r="I180" s="3">
        <v>2</v>
      </c>
      <c r="J180" s="3">
        <v>0.90924894874353202</v>
      </c>
    </row>
    <row r="181" spans="1:10">
      <c r="A181" s="4">
        <v>46109</v>
      </c>
      <c r="B181" s="2" t="s">
        <v>80</v>
      </c>
      <c r="C181" s="2" t="s">
        <v>81</v>
      </c>
      <c r="D181" s="3">
        <v>20000000</v>
      </c>
      <c r="E181" s="3">
        <v>8827779</v>
      </c>
      <c r="F181" s="3">
        <v>0.42667612070273198</v>
      </c>
      <c r="G181" s="3">
        <v>0.40014263315354642</v>
      </c>
      <c r="H181" s="3">
        <v>2</v>
      </c>
      <c r="I181" s="3">
        <v>0</v>
      </c>
      <c r="J181" s="3">
        <v>0.91229600748316786</v>
      </c>
    </row>
    <row r="182" spans="1:10">
      <c r="A182" s="4">
        <v>46140</v>
      </c>
      <c r="B182" s="2" t="s">
        <v>80</v>
      </c>
      <c r="C182" s="2" t="s">
        <v>81</v>
      </c>
      <c r="D182" s="3">
        <v>20000000</v>
      </c>
      <c r="E182" s="3">
        <v>15419839</v>
      </c>
      <c r="F182" s="3">
        <v>0.7012179198725873</v>
      </c>
      <c r="G182" s="3">
        <v>0.67605590864094622</v>
      </c>
      <c r="H182" s="3">
        <v>2</v>
      </c>
      <c r="I182" s="3">
        <v>0</v>
      </c>
      <c r="J182" s="3">
        <v>0.79896978668013541</v>
      </c>
    </row>
    <row r="183" spans="1:10">
      <c r="A183" s="4">
        <v>46170</v>
      </c>
      <c r="B183" s="2" t="s">
        <v>80</v>
      </c>
      <c r="C183" s="2" t="s">
        <v>81</v>
      </c>
      <c r="D183" s="3">
        <v>20000000</v>
      </c>
      <c r="E183" s="3">
        <v>13393388</v>
      </c>
      <c r="F183" s="3">
        <v>0.76083646151112183</v>
      </c>
      <c r="G183" s="3">
        <v>0.76083646151112183</v>
      </c>
      <c r="H183" s="3">
        <v>0</v>
      </c>
      <c r="I183" s="3">
        <v>0</v>
      </c>
      <c r="J183" s="3">
        <v>0.91469924028913052</v>
      </c>
    </row>
    <row r="184" spans="1:10">
      <c r="A184" s="4">
        <v>46201</v>
      </c>
      <c r="B184" s="2" t="s">
        <v>80</v>
      </c>
      <c r="C184" s="2" t="s">
        <v>81</v>
      </c>
      <c r="D184" s="3">
        <v>20000000</v>
      </c>
      <c r="E184" s="3">
        <v>22084879</v>
      </c>
      <c r="F184" s="3">
        <v>1</v>
      </c>
      <c r="G184" s="3">
        <v>0.97865318371026533</v>
      </c>
      <c r="H184" s="3">
        <v>2</v>
      </c>
      <c r="I184" s="3">
        <v>0</v>
      </c>
      <c r="J184" s="3">
        <v>0.75820180827196759</v>
      </c>
    </row>
    <row r="185" spans="1:10">
      <c r="A185" s="4">
        <v>46050</v>
      </c>
      <c r="B185" s="2" t="s">
        <v>82</v>
      </c>
      <c r="C185" s="2" t="s">
        <v>83</v>
      </c>
      <c r="D185" s="3">
        <v>10500000</v>
      </c>
      <c r="E185" s="3">
        <v>1645237</v>
      </c>
      <c r="F185" s="3">
        <v>0.17021740655940221</v>
      </c>
      <c r="G185" s="3">
        <v>0.14707919708351569</v>
      </c>
      <c r="H185" s="3">
        <v>2</v>
      </c>
      <c r="I185" s="3">
        <v>4</v>
      </c>
      <c r="J185" s="3">
        <v>0.9114605094001168</v>
      </c>
    </row>
    <row r="186" spans="1:10">
      <c r="A186" s="4">
        <v>46081</v>
      </c>
      <c r="B186" s="2" t="s">
        <v>82</v>
      </c>
      <c r="C186" s="2" t="s">
        <v>83</v>
      </c>
      <c r="D186" s="3">
        <v>10500000</v>
      </c>
      <c r="E186" s="3">
        <v>3344955</v>
      </c>
      <c r="F186" s="3">
        <v>0.35381749945050511</v>
      </c>
      <c r="G186" s="3">
        <v>0.35381749945050511</v>
      </c>
      <c r="H186" s="3">
        <v>0</v>
      </c>
      <c r="I186" s="3">
        <v>4</v>
      </c>
      <c r="J186" s="3">
        <v>0.87263125418695187</v>
      </c>
    </row>
    <row r="187" spans="1:10">
      <c r="A187" s="4">
        <v>46109</v>
      </c>
      <c r="B187" s="2" t="s">
        <v>82</v>
      </c>
      <c r="C187" s="2" t="s">
        <v>83</v>
      </c>
      <c r="D187" s="3">
        <v>10500000</v>
      </c>
      <c r="E187" s="3">
        <v>5234434</v>
      </c>
      <c r="F187" s="3">
        <v>0.49562902037245121</v>
      </c>
      <c r="G187" s="3">
        <v>0.47899487502761062</v>
      </c>
      <c r="H187" s="3">
        <v>1</v>
      </c>
      <c r="I187" s="3">
        <v>3</v>
      </c>
      <c r="J187" s="3">
        <v>0.96507012594153474</v>
      </c>
    </row>
    <row r="188" spans="1:10">
      <c r="A188" s="4">
        <v>46140</v>
      </c>
      <c r="B188" s="2" t="s">
        <v>82</v>
      </c>
      <c r="C188" s="2" t="s">
        <v>83</v>
      </c>
      <c r="D188" s="3">
        <v>10500000</v>
      </c>
      <c r="E188" s="3">
        <v>6723051</v>
      </c>
      <c r="F188" s="3">
        <v>0.63417280018400946</v>
      </c>
      <c r="G188" s="3">
        <v>0.63417280018400946</v>
      </c>
      <c r="H188" s="3">
        <v>0</v>
      </c>
      <c r="I188" s="3">
        <v>2</v>
      </c>
      <c r="J188" s="3">
        <v>0.81234614583647446</v>
      </c>
    </row>
    <row r="189" spans="1:10">
      <c r="A189" s="4">
        <v>46170</v>
      </c>
      <c r="B189" s="2" t="s">
        <v>82</v>
      </c>
      <c r="C189" s="2" t="s">
        <v>83</v>
      </c>
      <c r="D189" s="3">
        <v>10500000</v>
      </c>
      <c r="E189" s="3">
        <v>7984392</v>
      </c>
      <c r="F189" s="3">
        <v>0.77932173438260544</v>
      </c>
      <c r="G189" s="3">
        <v>0.77932173438260544</v>
      </c>
      <c r="H189" s="3">
        <v>0</v>
      </c>
      <c r="I189" s="3">
        <v>2</v>
      </c>
      <c r="J189" s="3">
        <v>0.87466943455647606</v>
      </c>
    </row>
    <row r="190" spans="1:10">
      <c r="A190" s="4">
        <v>46201</v>
      </c>
      <c r="B190" s="2" t="s">
        <v>82</v>
      </c>
      <c r="C190" s="2" t="s">
        <v>83</v>
      </c>
      <c r="D190" s="3">
        <v>10500000</v>
      </c>
      <c r="E190" s="3">
        <v>9302620</v>
      </c>
      <c r="F190" s="3">
        <v>0.87389915574203181</v>
      </c>
      <c r="G190" s="3">
        <v>0.85086259037525724</v>
      </c>
      <c r="H190" s="3">
        <v>2</v>
      </c>
      <c r="I190" s="3">
        <v>3</v>
      </c>
      <c r="J190" s="3">
        <v>0.76941302379666909</v>
      </c>
    </row>
    <row r="191" spans="1:10">
      <c r="A191" s="4">
        <v>46050</v>
      </c>
      <c r="B191" s="2" t="s">
        <v>84</v>
      </c>
      <c r="C191" s="2" t="s">
        <v>85</v>
      </c>
      <c r="D191" s="3">
        <v>24000000</v>
      </c>
      <c r="E191" s="3">
        <v>4385320</v>
      </c>
      <c r="F191" s="3">
        <v>0.16626405826749821</v>
      </c>
      <c r="G191" s="3">
        <v>0.16626405826749821</v>
      </c>
      <c r="H191" s="3">
        <v>0</v>
      </c>
      <c r="I191" s="3">
        <v>2</v>
      </c>
      <c r="J191" s="3">
        <v>0.8202116788319278</v>
      </c>
    </row>
    <row r="192" spans="1:10">
      <c r="A192" s="4">
        <v>46081</v>
      </c>
      <c r="B192" s="2" t="s">
        <v>84</v>
      </c>
      <c r="C192" s="2" t="s">
        <v>85</v>
      </c>
      <c r="D192" s="3">
        <v>24000000</v>
      </c>
      <c r="E192" s="3">
        <v>7550724</v>
      </c>
      <c r="F192" s="3">
        <v>0.34225884591274791</v>
      </c>
      <c r="G192" s="3">
        <v>0.33083088327625171</v>
      </c>
      <c r="H192" s="3">
        <v>1</v>
      </c>
      <c r="I192" s="3">
        <v>0</v>
      </c>
      <c r="J192" s="3">
        <v>0.90077778395690067</v>
      </c>
    </row>
    <row r="193" spans="1:10">
      <c r="A193" s="4">
        <v>46109</v>
      </c>
      <c r="B193" s="2" t="s">
        <v>84</v>
      </c>
      <c r="C193" s="2" t="s">
        <v>85</v>
      </c>
      <c r="D193" s="3">
        <v>24000000</v>
      </c>
      <c r="E193" s="3">
        <v>11473002</v>
      </c>
      <c r="F193" s="3">
        <v>0.47826804730113182</v>
      </c>
      <c r="G193" s="3">
        <v>0.44652403161623028</v>
      </c>
      <c r="H193" s="3">
        <v>3</v>
      </c>
      <c r="I193" s="3">
        <v>2</v>
      </c>
      <c r="J193" s="3">
        <v>0.89078843985127942</v>
      </c>
    </row>
    <row r="194" spans="1:10">
      <c r="A194" s="4">
        <v>46140</v>
      </c>
      <c r="B194" s="2" t="s">
        <v>84</v>
      </c>
      <c r="C194" s="2" t="s">
        <v>85</v>
      </c>
      <c r="D194" s="3">
        <v>24000000</v>
      </c>
      <c r="E194" s="3">
        <v>15965173</v>
      </c>
      <c r="F194" s="3">
        <v>0.64546784529823897</v>
      </c>
      <c r="G194" s="3">
        <v>0.63424443102860517</v>
      </c>
      <c r="H194" s="3">
        <v>1</v>
      </c>
      <c r="I194" s="3">
        <v>2</v>
      </c>
      <c r="J194" s="3">
        <v>0.9390193424795108</v>
      </c>
    </row>
    <row r="195" spans="1:10">
      <c r="A195" s="4">
        <v>46170</v>
      </c>
      <c r="B195" s="2" t="s">
        <v>84</v>
      </c>
      <c r="C195" s="2" t="s">
        <v>85</v>
      </c>
      <c r="D195" s="3">
        <v>24000000</v>
      </c>
      <c r="E195" s="3">
        <v>19279087</v>
      </c>
      <c r="F195" s="3">
        <v>0.8592311563599514</v>
      </c>
      <c r="G195" s="3">
        <v>0.8592311563599514</v>
      </c>
      <c r="H195" s="3">
        <v>0</v>
      </c>
      <c r="I195" s="3">
        <v>2</v>
      </c>
      <c r="J195" s="3">
        <v>0.96805377124362901</v>
      </c>
    </row>
    <row r="196" spans="1:10">
      <c r="A196" s="4">
        <v>46201</v>
      </c>
      <c r="B196" s="2" t="s">
        <v>84</v>
      </c>
      <c r="C196" s="2" t="s">
        <v>85</v>
      </c>
      <c r="D196" s="3">
        <v>24000000</v>
      </c>
      <c r="E196" s="3">
        <v>26682631</v>
      </c>
      <c r="F196" s="3">
        <v>1</v>
      </c>
      <c r="G196" s="3">
        <v>1</v>
      </c>
      <c r="H196" s="3">
        <v>0</v>
      </c>
      <c r="I196" s="3">
        <v>0</v>
      </c>
      <c r="J196" s="3">
        <v>0.77659223471270267</v>
      </c>
    </row>
  </sheetData>
  <mergeCells count="2">
    <mergeCell ref="A1:J1"/>
    <mergeCell ref="A2:J2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27" customWidth="1"/>
    <col min="2" max="2" width="95" customWidth="1"/>
  </cols>
  <sheetData>
    <row r="1" spans="1:2" ht="27.95" customHeight="1">
      <c r="A1" s="6" t="s">
        <v>96</v>
      </c>
      <c r="B1" s="42"/>
    </row>
    <row r="2" spans="1:2">
      <c r="A2" s="5" t="s">
        <v>97</v>
      </c>
      <c r="B2" s="42"/>
    </row>
    <row r="4" spans="1:2">
      <c r="A4" s="1" t="s">
        <v>98</v>
      </c>
      <c r="B4" s="1" t="s">
        <v>99</v>
      </c>
    </row>
    <row r="5" spans="1:2">
      <c r="A5" s="2" t="s">
        <v>100</v>
      </c>
      <c r="B5" s="2" t="s">
        <v>101</v>
      </c>
    </row>
    <row r="6" spans="1:2">
      <c r="A6" s="2" t="s">
        <v>102</v>
      </c>
      <c r="B6" s="2" t="s">
        <v>103</v>
      </c>
    </row>
    <row r="7" spans="1:2">
      <c r="A7" s="2" t="s">
        <v>104</v>
      </c>
      <c r="B7" s="2" t="s">
        <v>105</v>
      </c>
    </row>
    <row r="8" spans="1:2">
      <c r="A8" s="2" t="s">
        <v>106</v>
      </c>
      <c r="B8" s="2" t="s">
        <v>107</v>
      </c>
    </row>
  </sheetData>
  <mergeCells count="2">
    <mergeCell ref="A2:B2"/>
    <mergeCell ref="A1:B1"/>
  </mergeCells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0"/>
  <sheetViews>
    <sheetView showGridLines="0" tabSelected="1" workbookViewId="0">
      <pane ySplit="4" topLeftCell="A5" activePane="bottomLeft" state="frozen"/>
      <selection pane="bottomLeft"/>
    </sheetView>
  </sheetViews>
  <sheetFormatPr defaultRowHeight="15"/>
  <cols>
    <col min="1" max="1" width="13.28515625" customWidth="1"/>
    <col min="2" max="2" width="38.140625" customWidth="1"/>
    <col min="3" max="3" width="19" customWidth="1"/>
    <col min="4" max="4" width="11.42578125" customWidth="1"/>
    <col min="5" max="6" width="19" customWidth="1"/>
    <col min="7" max="7" width="17.140625" customWidth="1"/>
    <col min="8" max="8" width="19" customWidth="1"/>
    <col min="9" max="10" width="17.140625" customWidth="1"/>
    <col min="11" max="11" width="15.28515625" customWidth="1"/>
    <col min="12" max="12" width="13.28515625" customWidth="1"/>
    <col min="13" max="13" width="17.140625" customWidth="1"/>
    <col min="14" max="14" width="34.28515625" customWidth="1"/>
    <col min="15" max="16" width="17.140625" customWidth="1"/>
    <col min="17" max="17" width="21" customWidth="1"/>
    <col min="18" max="18" width="22.85546875" customWidth="1"/>
  </cols>
  <sheetData>
    <row r="1" spans="1:18" ht="27.75" customHeight="1">
      <c r="A1" s="7" t="s">
        <v>108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8">
      <c r="A2" s="43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4" spans="1:18" ht="24" customHeight="1">
      <c r="A4" s="8" t="s">
        <v>2</v>
      </c>
      <c r="B4" s="9" t="s">
        <v>110</v>
      </c>
      <c r="C4" s="9" t="s">
        <v>4</v>
      </c>
      <c r="D4" s="9" t="s">
        <v>5</v>
      </c>
      <c r="E4" s="9" t="s">
        <v>6</v>
      </c>
      <c r="F4" s="9" t="s">
        <v>90</v>
      </c>
      <c r="G4" s="9" t="s">
        <v>92</v>
      </c>
      <c r="H4" s="9" t="s">
        <v>111</v>
      </c>
      <c r="I4" s="9" t="s">
        <v>112</v>
      </c>
      <c r="J4" s="9" t="s">
        <v>113</v>
      </c>
      <c r="K4" s="9" t="s">
        <v>93</v>
      </c>
      <c r="L4" s="9" t="s">
        <v>95</v>
      </c>
      <c r="M4" s="9" t="s">
        <v>114</v>
      </c>
      <c r="N4" s="9" t="s">
        <v>115</v>
      </c>
      <c r="O4" s="9" t="s">
        <v>116</v>
      </c>
      <c r="P4" s="9" t="s">
        <v>117</v>
      </c>
      <c r="Q4" s="9" t="s">
        <v>118</v>
      </c>
      <c r="R4" s="10" t="s">
        <v>119</v>
      </c>
    </row>
    <row r="5" spans="1:18" ht="20.25" customHeight="1">
      <c r="A5" s="11" t="str">
        <f>INDEX(ProjeAnaVerisi[Proje No],1)</f>
        <v>P-001</v>
      </c>
      <c r="B5" s="12" t="str">
        <f>INDEX(ProjeAnaVerisi[Proje],1)</f>
        <v>Alfa Panel Kapasite Artışı</v>
      </c>
      <c r="C5" s="12" t="str">
        <f>INDEX(ProjeAnaVerisi[Sorumlu],1)</f>
        <v>Aylin Demir</v>
      </c>
      <c r="D5" s="13" t="str">
        <f>INDEX(ProjeAnaVerisi[Sponsor],1)</f>
        <v>CFO</v>
      </c>
      <c r="E5" s="14">
        <f>INDEX(ProjeAnaVerisi[Onaylı Bütçe],1)</f>
        <v>6000000</v>
      </c>
      <c r="F5" s="14" cm="1">
        <f t="array" ref="F5">SUMIFS(ProjeAylikDurum[Harcanan],ProjeAylikDurum[Proje No],A5,ProjeAylikDurum[Dönem],MAX(IF(ProjeAylikDurum[Proje No]=A5,ProjeAylikDurum[Dönem])))</f>
        <v>6162679</v>
      </c>
      <c r="G5" s="15" cm="1">
        <f t="array" ref="G5">SUMIFS(ProjeAylikDurum[Gerçek Tamamlanma],ProjeAylikDurum[Proje No],A5,ProjeAylikDurum[Dönem],MAX(IF(ProjeAylikDurum[Proje No]=A5,ProjeAylikDurum[Dönem])))</f>
        <v>0.84405583942513551</v>
      </c>
      <c r="H5" s="14">
        <f>IF(G5=0,"İnceleme",F5/G5)</f>
        <v>7301269.3143586805</v>
      </c>
      <c r="I5" s="15">
        <f>IF(ISNUMBER(H5),H5/E5,"N/A")</f>
        <v>1.21687821905978</v>
      </c>
      <c r="J5" s="15" cm="1">
        <f t="array" ref="J5">SUMIFS(ProjeAylikDurum[Planlanan Tamamlanma],ProjeAylikDurum[Proje No],A5,ProjeAylikDurum[Dönem],MAX(IF(ProjeAylikDurum[Proje No]=A5,ProjeAylikDurum[Dönem])))-G5</f>
        <v>0.15594416057486449</v>
      </c>
      <c r="K5" s="16" cm="1">
        <f t="array" ref="K5">SUMIFS(ProjeAylikDurum[Gecikme (Gün)],ProjeAylikDurum[Proje No],A5,ProjeAylikDurum[Dönem],MAX(IF(ProjeAylikDurum[Proje No]=A5,ProjeAylikDurum[Dönem])))</f>
        <v>14</v>
      </c>
      <c r="L5" s="15" cm="1">
        <f t="array" ref="L5">SUMIFS(ProjeAylikDurum[Ekip Yükü],ProjeAylikDurum[Proje No],A5,ProjeAylikDurum[Dönem],MAX(IF(ProjeAylikDurum[Proje No]=A5,ProjeAylikDurum[Dönem])))</f>
        <v>1.187535073660136</v>
      </c>
      <c r="M5" s="13" t="str">
        <f>IF(OR(AND(ISNUMBER(I5),I5&gt;1.1),K5&gt;15,L5&gt;1.1),"KIRMIZI",IF(OR(AND(ISNUMBER(I5),I5&gt;1.05),K5&gt;10,L5&gt;1.05),"SARI","YEŞİL"))</f>
        <v>KIRMIZI</v>
      </c>
      <c r="N5" s="13" t="str">
        <f>IF(M5="KIRMIZI",IF(AND(ISNUMBER(I5),I5&gt;1.1,L5&gt;1.1),"Bütçe Artırma + Ekip Takviyesi",IF(AND(ISNUMBER(I5),I5&gt;1.3),"Kapsam Daraltma",IF(K5&gt;15,"Bağımlılık Çözme",IF(L5&gt;1.1,"Ekip Yükü Azaltma","Bütçe Artırma")))),IF(M5="SARI","Yakın İzleme","-"))</f>
        <v>Bütçe Artırma + Ekip Takviyesi</v>
      </c>
      <c r="O5" s="13" t="str">
        <f>IF(M5="KIRMIZI",D5,IF(M5="SARI","PMO","-"))</f>
        <v>CFO</v>
      </c>
      <c r="P5" s="13">
        <f>IFERROR(INDEX(ProjeAnaVerisi[Bağımlı Olduğu Proje],1),"-")</f>
        <v>0</v>
      </c>
      <c r="Q5" s="13">
        <f>COUNTIF(ProjeAnaVerisi[Bağımlı Olduğu Proje],A5)</f>
        <v>7</v>
      </c>
      <c r="R5" s="17" t="str">
        <f>IF(AND(M5="KIRMIZI",Q5&gt;0),"KRİTİK - "&amp;Q5&amp;" proje etkilenir",IF(AND(P5&lt;&gt;"-",P5&lt;&gt;"",IFERROR(VLOOKUP(P5,$A$5:$M$36,13,FALSE),"")="KIRMIZI"),"YÜKSEK - Bağımlı proje kırmızı",IF(Q5&gt;0,Q5&amp;" proje bağımlı","-")))</f>
        <v>KRİTİK - 7 proje etkilenir</v>
      </c>
    </row>
    <row r="6" spans="1:18" ht="20.25" customHeight="1">
      <c r="A6" s="18" t="str">
        <f>INDEX(ProjeAnaVerisi[Proje No],2)</f>
        <v>P-002</v>
      </c>
      <c r="B6" s="19" t="str">
        <f>INDEX(ProjeAnaVerisi[Proje],2)</f>
        <v>Gebze Sevkiyat İyileştirme</v>
      </c>
      <c r="C6" s="19" t="str">
        <f>INDEX(ProjeAnaVerisi[Sorumlu],2)</f>
        <v>Burak Yalçın</v>
      </c>
      <c r="D6" s="20" t="str">
        <f>INDEX(ProjeAnaVerisi[Sponsor],2)</f>
        <v>COO</v>
      </c>
      <c r="E6" s="21">
        <f>INDEX(ProjeAnaVerisi[Onaylı Bütçe],2)</f>
        <v>28000000</v>
      </c>
      <c r="F6" s="21" cm="1">
        <f t="array" ref="F6">SUMIFS(ProjeAylikDurum[Harcanan],ProjeAylikDurum[Proje No],A6,ProjeAylikDurum[Dönem],MAX(IF(ProjeAylikDurum[Proje No]=A6,ProjeAylikDurum[Dönem])))</f>
        <v>34809983</v>
      </c>
      <c r="G6" s="22" cm="1">
        <f t="array" ref="G6">SUMIFS(ProjeAylikDurum[Gerçek Tamamlanma],ProjeAylikDurum[Proje No],A6,ProjeAylikDurum[Dönem],MAX(IF(ProjeAylikDurum[Proje No]=A6,ProjeAylikDurum[Dönem])))</f>
        <v>0.82653703212265861</v>
      </c>
      <c r="H6" s="21">
        <f>IF(G6=0,"İnceleme",F6/G6)</f>
        <v>42115454.779567793</v>
      </c>
      <c r="I6" s="22">
        <f>IF(ISNUMBER(H6),H6/E6,"N/A")</f>
        <v>1.5041233849845641</v>
      </c>
      <c r="J6" s="22" cm="1">
        <f t="array" ref="J6">SUMIFS(ProjeAylikDurum[Planlanan Tamamlanma],ProjeAylikDurum[Proje No],A6,ProjeAylikDurum[Dönem],MAX(IF(ProjeAylikDurum[Proje No]=A6,ProjeAylikDurum[Dönem])))-G6</f>
        <v>0.17346296787734139</v>
      </c>
      <c r="K6" s="23" cm="1">
        <f t="array" ref="K6">SUMIFS(ProjeAylikDurum[Gecikme (Gün)],ProjeAylikDurum[Proje No],A6,ProjeAylikDurum[Dönem],MAX(IF(ProjeAylikDurum[Proje No]=A6,ProjeAylikDurum[Dönem])))</f>
        <v>16</v>
      </c>
      <c r="L6" s="22" cm="1">
        <f t="array" ref="L6">SUMIFS(ProjeAylikDurum[Ekip Yükü],ProjeAylikDurum[Proje No],A6,ProjeAylikDurum[Dönem],MAX(IF(ProjeAylikDurum[Proje No]=A6,ProjeAylikDurum[Dönem])))</f>
        <v>1.178380179429749</v>
      </c>
      <c r="M6" s="20" t="str">
        <f>IF(OR(AND(ISNUMBER(I6),I6&gt;1.1),K6&gt;15,L6&gt;1.1),"KIRMIZI",IF(OR(AND(ISNUMBER(I6),I6&gt;1.05),K6&gt;10,L6&gt;1.05),"SARI","YEŞİL"))</f>
        <v>KIRMIZI</v>
      </c>
      <c r="N6" s="20" t="str">
        <f>IF(M6="KIRMIZI",IF(AND(ISNUMBER(I6),I6&gt;1.1,L6&gt;1.1),"Bütçe Artırma + Ekip Takviyesi",IF(AND(ISNUMBER(I6),I6&gt;1.3),"Kapsam Daraltma",IF(K6&gt;15,"Bağımlılık Çözme",IF(L6&gt;1.1,"Ekip Yükü Azaltma","Bütçe Artırma")))),IF(M6="SARI","Yakın İzleme","-"))</f>
        <v>Bütçe Artırma + Ekip Takviyesi</v>
      </c>
      <c r="O6" s="20" t="str">
        <f>IF(M6="KIRMIZI",D6,IF(M6="SARI","PMO","-"))</f>
        <v>COO</v>
      </c>
      <c r="P6" s="20">
        <f>IFERROR(INDEX(ProjeAnaVerisi[Bağımlı Olduğu Proje],2),"-")</f>
        <v>0</v>
      </c>
      <c r="Q6" s="20">
        <f>COUNTIF(ProjeAnaVerisi[Bağımlı Olduğu Proje],A6)</f>
        <v>7</v>
      </c>
      <c r="R6" s="24" t="str">
        <f>IF(AND(M6="KIRMIZI",Q6&gt;0),"KRİTİK - "&amp;Q6&amp;" proje etkilenir",IF(AND(P6&lt;&gt;"-",P6&lt;&gt;"",IFERROR(VLOOKUP(P6,$A$5:$M$36,13,FALSE),"")="KIRMIZI"),"YÜKSEK - Bağımlı proje kırmızı",IF(Q6&gt;0,Q6&amp;" proje bağımlı","-")))</f>
        <v>KRİTİK - 7 proje etkilenir</v>
      </c>
    </row>
    <row r="7" spans="1:18" ht="20.25" customHeight="1">
      <c r="A7" s="11" t="str">
        <f>INDEX(ProjeAnaVerisi[Proje No],3)</f>
        <v>P-003</v>
      </c>
      <c r="B7" s="12" t="str">
        <f>INDEX(ProjeAnaVerisi[Proje],3)</f>
        <v>ERP Mutabakat Otomasyonu</v>
      </c>
      <c r="C7" s="12" t="str">
        <f>INDEX(ProjeAnaVerisi[Sorumlu],3)</f>
        <v>Ceren Aksoy</v>
      </c>
      <c r="D7" s="13" t="str">
        <f>INDEX(ProjeAnaVerisi[Sponsor],3)</f>
        <v>CCO</v>
      </c>
      <c r="E7" s="14">
        <f>INDEX(ProjeAnaVerisi[Onaylı Bütçe],3)</f>
        <v>27000000</v>
      </c>
      <c r="F7" s="14" cm="1">
        <f t="array" ref="F7">SUMIFS(ProjeAylikDurum[Harcanan],ProjeAylikDurum[Proje No],A7,ProjeAylikDurum[Dönem],MAX(IF(ProjeAylikDurum[Proje No]=A7,ProjeAylikDurum[Dönem])))</f>
        <v>21208250</v>
      </c>
      <c r="G7" s="15" cm="1">
        <f t="array" ref="G7">SUMIFS(ProjeAylikDurum[Gerçek Tamamlanma],ProjeAylikDurum[Proje No],A7,ProjeAylikDurum[Dönem],MAX(IF(ProjeAylikDurum[Proje No]=A7,ProjeAylikDurum[Dönem])))</f>
        <v>0.7669958298514018</v>
      </c>
      <c r="H7" s="14">
        <f>IF(G7=0,"İnceleme",F7/G7)</f>
        <v>27651062.984408792</v>
      </c>
      <c r="I7" s="15">
        <f>IF(ISNUMBER(H7),H7/E7,"N/A")</f>
        <v>1.0241134438669923</v>
      </c>
      <c r="J7" s="15" cm="1">
        <f t="array" ref="J7">SUMIFS(ProjeAylikDurum[Planlanan Tamamlanma],ProjeAylikDurum[Proje No],A7,ProjeAylikDurum[Dönem],MAX(IF(ProjeAylikDurum[Proje No]=A7,ProjeAylikDurum[Dönem])))-G7</f>
        <v>0.12377647743323628</v>
      </c>
      <c r="K7" s="16" cm="1">
        <f t="array" ref="K7">SUMIFS(ProjeAylikDurum[Gecikme (Gün)],ProjeAylikDurum[Proje No],A7,ProjeAylikDurum[Dönem],MAX(IF(ProjeAylikDurum[Proje No]=A7,ProjeAylikDurum[Dönem])))</f>
        <v>11</v>
      </c>
      <c r="L7" s="15" cm="1">
        <f t="array" ref="L7">SUMIFS(ProjeAylikDurum[Ekip Yükü],ProjeAylikDurum[Proje No],A7,ProjeAylikDurum[Dönem],MAX(IF(ProjeAylikDurum[Proje No]=A7,ProjeAylikDurum[Dönem])))</f>
        <v>1.1206462933262771</v>
      </c>
      <c r="M7" s="13" t="str">
        <f>IF(OR(AND(ISNUMBER(I7),I7&gt;1.1),K7&gt;15,L7&gt;1.1),"KIRMIZI",IF(OR(AND(ISNUMBER(I7),I7&gt;1.05),K7&gt;10,L7&gt;1.05),"SARI","YEŞİL"))</f>
        <v>KIRMIZI</v>
      </c>
      <c r="N7" s="13" t="str">
        <f>IF(M7="KIRMIZI",IF(AND(ISNUMBER(I7),I7&gt;1.1,L7&gt;1.1),"Bütçe Artırma + Ekip Takviyesi",IF(AND(ISNUMBER(I7),I7&gt;1.3),"Kapsam Daraltma",IF(K7&gt;15,"Bağımlılık Çözme",IF(L7&gt;1.1,"Ekip Yükü Azaltma","Bütçe Artırma")))),IF(M7="SARI","Yakın İzleme","-"))</f>
        <v>Ekip Yükü Azaltma</v>
      </c>
      <c r="O7" s="13" t="str">
        <f>IF(M7="KIRMIZI",D7,IF(M7="SARI","PMO","-"))</f>
        <v>CCO</v>
      </c>
      <c r="P7" s="13">
        <f>IFERROR(INDEX(ProjeAnaVerisi[Bağımlı Olduğu Proje],3),"-")</f>
        <v>0</v>
      </c>
      <c r="Q7" s="13">
        <f>COUNTIF(ProjeAnaVerisi[Bağımlı Olduğu Proje],A7)</f>
        <v>7</v>
      </c>
      <c r="R7" s="17" t="str">
        <f>IF(AND(M7="KIRMIZI",Q7&gt;0),"KRİTİK - "&amp;Q7&amp;" proje etkilenir",IF(AND(P7&lt;&gt;"-",P7&lt;&gt;"",IFERROR(VLOOKUP(P7,$A$5:$M$36,13,FALSE),"")="KIRMIZI"),"YÜKSEK - Bağımlı proje kırmızı",IF(Q7&gt;0,Q7&amp;" proje bağımlı","-")))</f>
        <v>KRİTİK - 7 proje etkilenir</v>
      </c>
    </row>
    <row r="8" spans="1:18" ht="20.25" customHeight="1">
      <c r="A8" s="18" t="str">
        <f>INDEX(ProjeAnaVerisi[Proje No],4)</f>
        <v>P-004</v>
      </c>
      <c r="B8" s="19" t="str">
        <f>INDEX(ProjeAnaVerisi[Proje],4)</f>
        <v>Müşteri Karlılık Modeli</v>
      </c>
      <c r="C8" s="19" t="str">
        <f>INDEX(ProjeAnaVerisi[Sorumlu],4)</f>
        <v>Deniz Koç</v>
      </c>
      <c r="D8" s="20" t="str">
        <f>INDEX(ProjeAnaVerisi[Sponsor],4)</f>
        <v>CIO</v>
      </c>
      <c r="E8" s="21">
        <f>INDEX(ProjeAnaVerisi[Onaylı Bütçe],4)</f>
        <v>19000000</v>
      </c>
      <c r="F8" s="21" cm="1">
        <f t="array" ref="F8">SUMIFS(ProjeAylikDurum[Harcanan],ProjeAylikDurum[Proje No],A8,ProjeAylikDurum[Dönem],MAX(IF(ProjeAylikDurum[Proje No]=A8,ProjeAylikDurum[Dönem])))</f>
        <v>18234158</v>
      </c>
      <c r="G8" s="22" cm="1">
        <f t="array" ref="G8">SUMIFS(ProjeAylikDurum[Gerçek Tamamlanma],ProjeAylikDurum[Proje No],A8,ProjeAylikDurum[Dönem],MAX(IF(ProjeAylikDurum[Proje No]=A8,ProjeAylikDurum[Dönem])))</f>
        <v>0.96610953977315883</v>
      </c>
      <c r="H8" s="21">
        <f>IF(G8=0,"İnceleme",F8/G8)</f>
        <v>18873799.760099001</v>
      </c>
      <c r="I8" s="22">
        <f>IF(ISNUMBER(H8),H8/E8,"N/A")</f>
        <v>0.99335788211047371</v>
      </c>
      <c r="J8" s="22" cm="1">
        <f t="array" ref="J8">SUMIFS(ProjeAylikDurum[Planlanan Tamamlanma],ProjeAylikDurum[Proje No],A8,ProjeAylikDurum[Dönem],MAX(IF(ProjeAylikDurum[Proje No]=A8,ProjeAylikDurum[Dönem])))-G8</f>
        <v>2.5808145809862348E-2</v>
      </c>
      <c r="K8" s="23" cm="1">
        <f t="array" ref="K8">SUMIFS(ProjeAylikDurum[Gecikme (Gün)],ProjeAylikDurum[Proje No],A8,ProjeAylikDurum[Dönem],MAX(IF(ProjeAylikDurum[Proje No]=A8,ProjeAylikDurum[Dönem])))</f>
        <v>2</v>
      </c>
      <c r="L8" s="22" cm="1">
        <f t="array" ref="L8">SUMIFS(ProjeAylikDurum[Ekip Yükü],ProjeAylikDurum[Proje No],A8,ProjeAylikDurum[Dönem],MAX(IF(ProjeAylikDurum[Proje No]=A8,ProjeAylikDurum[Dönem])))</f>
        <v>0.72518157993924626</v>
      </c>
      <c r="M8" s="20" t="str">
        <f>IF(OR(AND(ISNUMBER(I8),I8&gt;1.1),K8&gt;15,L8&gt;1.1),"KIRMIZI",IF(OR(AND(ISNUMBER(I8),I8&gt;1.05),K8&gt;10,L8&gt;1.05),"SARI","YEŞİL"))</f>
        <v>YEŞİL</v>
      </c>
      <c r="N8" s="20" t="str">
        <f>IF(M8="KIRMIZI",IF(AND(ISNUMBER(I8),I8&gt;1.1,L8&gt;1.1),"Bütçe Artırma + Ekip Takviyesi",IF(AND(ISNUMBER(I8),I8&gt;1.3),"Kapsam Daraltma",IF(K8&gt;15,"Bağımlılık Çözme",IF(L8&gt;1.1,"Ekip Yükü Azaltma","Bütçe Artırma")))),IF(M8="SARI","Yakın İzleme","-"))</f>
        <v>-</v>
      </c>
      <c r="O8" s="20" t="str">
        <f>IF(M8="KIRMIZI",D8,IF(M8="SARI","PMO","-"))</f>
        <v>-</v>
      </c>
      <c r="P8" s="20">
        <f>IFERROR(INDEX(ProjeAnaVerisi[Bağımlı Olduğu Proje],4),"-")</f>
        <v>0</v>
      </c>
      <c r="Q8" s="20">
        <f>COUNTIF(ProjeAnaVerisi[Bağımlı Olduğu Proje],A8)</f>
        <v>7</v>
      </c>
      <c r="R8" s="24" t="str">
        <f>IF(AND(M8="KIRMIZI",Q8&gt;0),"KRİTİK - "&amp;Q8&amp;" proje etkilenir",IF(AND(P8&lt;&gt;"-",P8&lt;&gt;"",IFERROR(VLOOKUP(P8,$A$5:$M$36,13,FALSE),"")="KIRMIZI"),"YÜKSEK - Bağımlı proje kırmızı",IF(Q8&gt;0,Q8&amp;" proje bağımlı","-")))</f>
        <v>7 proje bağımlı</v>
      </c>
    </row>
    <row r="9" spans="1:18" ht="20.25" customHeight="1">
      <c r="A9" s="11" t="str">
        <f>INDEX(ProjeAnaVerisi[Proje No],5)</f>
        <v>P-005</v>
      </c>
      <c r="B9" s="12" t="str">
        <f>INDEX(ProjeAnaVerisi[Proje],5)</f>
        <v>Bayi Portalı Yenileme</v>
      </c>
      <c r="C9" s="12" t="str">
        <f>INDEX(ProjeAnaVerisi[Sorumlu],5)</f>
        <v>Ece Şahin</v>
      </c>
      <c r="D9" s="13" t="str">
        <f>INDEX(ProjeAnaVerisi[Sponsor],5)</f>
        <v>CFO</v>
      </c>
      <c r="E9" s="14">
        <f>INDEX(ProjeAnaVerisi[Onaylı Bütçe],5)</f>
        <v>16000000</v>
      </c>
      <c r="F9" s="14" cm="1">
        <f t="array" ref="F9">SUMIFS(ProjeAylikDurum[Harcanan],ProjeAylikDurum[Proje No],A9,ProjeAylikDurum[Dönem],MAX(IF(ProjeAylikDurum[Proje No]=A9,ProjeAylikDurum[Dönem])))</f>
        <v>15078271</v>
      </c>
      <c r="G9" s="15" cm="1">
        <f t="array" ref="G9">SUMIFS(ProjeAylikDurum[Gerçek Tamamlanma],ProjeAylikDurum[Proje No],A9,ProjeAylikDurum[Dönem],MAX(IF(ProjeAylikDurum[Proje No]=A9,ProjeAylikDurum[Dönem])))</f>
        <v>1</v>
      </c>
      <c r="H9" s="14">
        <f>IF(G9=0,"İnceleme",F9/G9)</f>
        <v>15078271</v>
      </c>
      <c r="I9" s="15">
        <f>IF(ISNUMBER(H9),H9/E9,"N/A")</f>
        <v>0.94239193750000005</v>
      </c>
      <c r="J9" s="15" cm="1">
        <f t="array" ref="J9">SUMIFS(ProjeAylikDurum[Planlanan Tamamlanma],ProjeAylikDurum[Proje No],A9,ProjeAylikDurum[Dönem],MAX(IF(ProjeAylikDurum[Proje No]=A9,ProjeAylikDurum[Dönem])))-G9</f>
        <v>0</v>
      </c>
      <c r="K9" s="16" cm="1">
        <f t="array" ref="K9">SUMIFS(ProjeAylikDurum[Gecikme (Gün)],ProjeAylikDurum[Proje No],A9,ProjeAylikDurum[Dönem],MAX(IF(ProjeAylikDurum[Proje No]=A9,ProjeAylikDurum[Dönem])))</f>
        <v>0</v>
      </c>
      <c r="L9" s="15" cm="1">
        <f t="array" ref="L9">SUMIFS(ProjeAylikDurum[Ekip Yükü],ProjeAylikDurum[Proje No],A9,ProjeAylikDurum[Dönem],MAX(IF(ProjeAylikDurum[Proje No]=A9,ProjeAylikDurum[Dönem])))</f>
        <v>0.82784141735530514</v>
      </c>
      <c r="M9" s="13" t="str">
        <f>IF(OR(AND(ISNUMBER(I9),I9&gt;1.1),K9&gt;15,L9&gt;1.1),"KIRMIZI",IF(OR(AND(ISNUMBER(I9),I9&gt;1.05),K9&gt;10,L9&gt;1.05),"SARI","YEŞİL"))</f>
        <v>YEŞİL</v>
      </c>
      <c r="N9" s="13" t="str">
        <f>IF(M9="KIRMIZI",IF(AND(ISNUMBER(I9),I9&gt;1.1,L9&gt;1.1),"Bütçe Artırma + Ekip Takviyesi",IF(AND(ISNUMBER(I9),I9&gt;1.3),"Kapsam Daraltma",IF(K9&gt;15,"Bağımlılık Çözme",IF(L9&gt;1.1,"Ekip Yükü Azaltma","Bütçe Artırma")))),IF(M9="SARI","Yakın İzleme","-"))</f>
        <v>-</v>
      </c>
      <c r="O9" s="13" t="str">
        <f>IF(M9="KIRMIZI",D9,IF(M9="SARI","PMO","-"))</f>
        <v>-</v>
      </c>
      <c r="P9" s="13" t="str">
        <f>IFERROR(INDEX(ProjeAnaVerisi[Bağımlı Olduğu Proje],5),"-")</f>
        <v>P-001</v>
      </c>
      <c r="Q9" s="13">
        <f>COUNTIF(ProjeAnaVerisi[Bağımlı Olduğu Proje],A9)</f>
        <v>0</v>
      </c>
      <c r="R9" s="17" t="str">
        <f>IF(AND(M9="KIRMIZI",Q9&gt;0),"KRİTİK - "&amp;Q9&amp;" proje etkilenir",IF(AND(P9&lt;&gt;"-",P9&lt;&gt;"",IFERROR(VLOOKUP(P9,$A$5:$M$36,13,FALSE),"")="KIRMIZI"),"YÜKSEK - Bağımlı proje kırmızı",IF(Q9&gt;0,Q9&amp;" proje bağımlı","-")))</f>
        <v>YÜKSEK - Bağımlı proje kırmızı</v>
      </c>
    </row>
    <row r="10" spans="1:18" ht="20.25" customHeight="1">
      <c r="A10" s="18" t="str">
        <f>INDEX(ProjeAnaVerisi[Proje No],6)</f>
        <v>P-006</v>
      </c>
      <c r="B10" s="19" t="str">
        <f>INDEX(ProjeAnaVerisi[Proje],6)</f>
        <v>Gama Sensör Kalite Programı</v>
      </c>
      <c r="C10" s="19" t="str">
        <f>INDEX(ProjeAnaVerisi[Sorumlu],6)</f>
        <v>Mert Arslan</v>
      </c>
      <c r="D10" s="20" t="str">
        <f>INDEX(ProjeAnaVerisi[Sponsor],6)</f>
        <v>COO</v>
      </c>
      <c r="E10" s="21">
        <f>INDEX(ProjeAnaVerisi[Onaylı Bütçe],6)</f>
        <v>16000000</v>
      </c>
      <c r="F10" s="21" cm="1">
        <f t="array" ref="F10">SUMIFS(ProjeAylikDurum[Harcanan],ProjeAylikDurum[Proje No],A10,ProjeAylikDurum[Dönem],MAX(IF(ProjeAylikDurum[Proje No]=A10,ProjeAylikDurum[Dönem])))</f>
        <v>15219269</v>
      </c>
      <c r="G10" s="22" cm="1">
        <f t="array" ref="G10">SUMIFS(ProjeAylikDurum[Gerçek Tamamlanma],ProjeAylikDurum[Proje No],A10,ProjeAylikDurum[Dönem],MAX(IF(ProjeAylikDurum[Proje No]=A10,ProjeAylikDurum[Dönem])))</f>
        <v>0.96622960128506452</v>
      </c>
      <c r="H10" s="21">
        <f>IF(G10=0,"İnceleme",F10/G10)</f>
        <v>15751193.070217162</v>
      </c>
      <c r="I10" s="22">
        <f>IF(ISNUMBER(H10),H10/E10,"N/A")</f>
        <v>0.98444956688857266</v>
      </c>
      <c r="J10" s="22" cm="1">
        <f t="array" ref="J10">SUMIFS(ProjeAylikDurum[Planlanan Tamamlanma],ProjeAylikDurum[Proje No],A10,ProjeAylikDurum[Dönem],MAX(IF(ProjeAylikDurum[Proje No]=A10,ProjeAylikDurum[Dönem])))-G10</f>
        <v>9.7968607300171762E-3</v>
      </c>
      <c r="K10" s="23" cm="1">
        <f t="array" ref="K10">SUMIFS(ProjeAylikDurum[Gecikme (Gün)],ProjeAylikDurum[Proje No],A10,ProjeAylikDurum[Dönem],MAX(IF(ProjeAylikDurum[Proje No]=A10,ProjeAylikDurum[Dönem])))</f>
        <v>1</v>
      </c>
      <c r="L10" s="22" cm="1">
        <f t="array" ref="L10">SUMIFS(ProjeAylikDurum[Ekip Yükü],ProjeAylikDurum[Proje No],A10,ProjeAylikDurum[Dönem],MAX(IF(ProjeAylikDurum[Proje No]=A10,ProjeAylikDurum[Dönem])))</f>
        <v>0.91685449583962764</v>
      </c>
      <c r="M10" s="20" t="str">
        <f>IF(OR(AND(ISNUMBER(I10),I10&gt;1.1),K10&gt;15,L10&gt;1.1),"KIRMIZI",IF(OR(AND(ISNUMBER(I10),I10&gt;1.05),K10&gt;10,L10&gt;1.05),"SARI","YEŞİL"))</f>
        <v>YEŞİL</v>
      </c>
      <c r="N10" s="20" t="str">
        <f>IF(M10="KIRMIZI",IF(AND(ISNUMBER(I10),I10&gt;1.1,L10&gt;1.1),"Bütçe Artırma + Ekip Takviyesi",IF(AND(ISNUMBER(I10),I10&gt;1.3),"Kapsam Daraltma",IF(K10&gt;15,"Bağımlılık Çözme",IF(L10&gt;1.1,"Ekip Yükü Azaltma","Bütçe Artırma")))),IF(M10="SARI","Yakın İzleme","-"))</f>
        <v>-</v>
      </c>
      <c r="O10" s="20" t="str">
        <f>IF(M10="KIRMIZI",D10,IF(M10="SARI","PMO","-"))</f>
        <v>-</v>
      </c>
      <c r="P10" s="20" t="str">
        <f>IFERROR(INDEX(ProjeAnaVerisi[Bağımlı Olduğu Proje],6),"-")</f>
        <v>P-002</v>
      </c>
      <c r="Q10" s="20">
        <f>COUNTIF(ProjeAnaVerisi[Bağımlı Olduğu Proje],A10)</f>
        <v>0</v>
      </c>
      <c r="R10" s="24" t="str">
        <f>IF(AND(M10="KIRMIZI",Q10&gt;0),"KRİTİK - "&amp;Q10&amp;" proje etkilenir",IF(AND(P10&lt;&gt;"-",P10&lt;&gt;"",IFERROR(VLOOKUP(P10,$A$5:$M$36,13,FALSE),"")="KIRMIZI"),"YÜKSEK - Bağımlı proje kırmızı",IF(Q10&gt;0,Q10&amp;" proje bağımlı","-")))</f>
        <v>YÜKSEK - Bağımlı proje kırmızı</v>
      </c>
    </row>
    <row r="11" spans="1:18" ht="20.25" customHeight="1">
      <c r="A11" s="11" t="str">
        <f>INDEX(ProjeAnaVerisi[Proje No],7)</f>
        <v>P-007</v>
      </c>
      <c r="B11" s="12" t="str">
        <f>INDEX(ProjeAnaVerisi[Proje],7)</f>
        <v>Saha Servis Mobil</v>
      </c>
      <c r="C11" s="12" t="str">
        <f>INDEX(ProjeAnaVerisi[Sorumlu],7)</f>
        <v>Aylin Demir</v>
      </c>
      <c r="D11" s="13" t="str">
        <f>INDEX(ProjeAnaVerisi[Sponsor],7)</f>
        <v>CCO</v>
      </c>
      <c r="E11" s="14">
        <f>INDEX(ProjeAnaVerisi[Onaylı Bütçe],7)</f>
        <v>32000000</v>
      </c>
      <c r="F11" s="14" cm="1">
        <f t="array" ref="F11">SUMIFS(ProjeAylikDurum[Harcanan],ProjeAylikDurum[Proje No],A11,ProjeAylikDurum[Dönem],MAX(IF(ProjeAylikDurum[Proje No]=A11,ProjeAylikDurum[Dönem])))</f>
        <v>35475844</v>
      </c>
      <c r="G11" s="15" cm="1">
        <f t="array" ref="G11">SUMIFS(ProjeAylikDurum[Gerçek Tamamlanma],ProjeAylikDurum[Proje No],A11,ProjeAylikDurum[Dönem],MAX(IF(ProjeAylikDurum[Proje No]=A11,ProjeAylikDurum[Dönem])))</f>
        <v>0.97742701068442761</v>
      </c>
      <c r="H11" s="14">
        <f>IF(G11=0,"İnceleme",F11/G11)</f>
        <v>36295133.664414093</v>
      </c>
      <c r="I11" s="15">
        <f>IF(ISNUMBER(H11),H11/E11,"N/A")</f>
        <v>1.1342229270129405</v>
      </c>
      <c r="J11" s="15" cm="1">
        <f t="array" ref="J11">SUMIFS(ProjeAylikDurum[Planlanan Tamamlanma],ProjeAylikDurum[Proje No],A11,ProjeAylikDurum[Dönem],MAX(IF(ProjeAylikDurum[Proje No]=A11,ProjeAylikDurum[Dönem])))-G11</f>
        <v>2.2572989315572389E-2</v>
      </c>
      <c r="K11" s="16" cm="1">
        <f t="array" ref="K11">SUMIFS(ProjeAylikDurum[Gecikme (Gün)],ProjeAylikDurum[Proje No],A11,ProjeAylikDurum[Dönem],MAX(IF(ProjeAylikDurum[Proje No]=A11,ProjeAylikDurum[Dönem])))</f>
        <v>2</v>
      </c>
      <c r="L11" s="15" cm="1">
        <f t="array" ref="L11">SUMIFS(ProjeAylikDurum[Ekip Yükü],ProjeAylikDurum[Proje No],A11,ProjeAylikDurum[Dönem],MAX(IF(ProjeAylikDurum[Proje No]=A11,ProjeAylikDurum[Dönem])))</f>
        <v>0.93229880796143449</v>
      </c>
      <c r="M11" s="13" t="str">
        <f>IF(OR(AND(ISNUMBER(I11),I11&gt;1.1),K11&gt;15,L11&gt;1.1),"KIRMIZI",IF(OR(AND(ISNUMBER(I11),I11&gt;1.05),K11&gt;10,L11&gt;1.05),"SARI","YEŞİL"))</f>
        <v>KIRMIZI</v>
      </c>
      <c r="N11" s="13" t="str">
        <f>IF(M11="KIRMIZI",IF(AND(ISNUMBER(I11),I11&gt;1.1,L11&gt;1.1),"Bütçe Artırma + Ekip Takviyesi",IF(AND(ISNUMBER(I11),I11&gt;1.3),"Kapsam Daraltma",IF(K11&gt;15,"Bağımlılık Çözme",IF(L11&gt;1.1,"Ekip Yükü Azaltma","Bütçe Artırma")))),IF(M11="SARI","Yakın İzleme","-"))</f>
        <v>Bütçe Artırma</v>
      </c>
      <c r="O11" s="13" t="str">
        <f>IF(M11="KIRMIZI",D11,IF(M11="SARI","PMO","-"))</f>
        <v>CCO</v>
      </c>
      <c r="P11" s="13" t="str">
        <f>IFERROR(INDEX(ProjeAnaVerisi[Bağımlı Olduğu Proje],7),"-")</f>
        <v>P-003</v>
      </c>
      <c r="Q11" s="13">
        <f>COUNTIF(ProjeAnaVerisi[Bağımlı Olduğu Proje],A11)</f>
        <v>0</v>
      </c>
      <c r="R11" s="17" t="str">
        <f>IF(AND(M11="KIRMIZI",Q11&gt;0),"KRİTİK - "&amp;Q11&amp;" proje etkilenir",IF(AND(P11&lt;&gt;"-",P11&lt;&gt;"",IFERROR(VLOOKUP(P11,$A$5:$M$36,13,FALSE),"")="KIRMIZI"),"YÜKSEK - Bağımlı proje kırmızı",IF(Q11&gt;0,Q11&amp;" proje bağımlı","-")))</f>
        <v>YÜKSEK - Bağımlı proje kırmızı</v>
      </c>
    </row>
    <row r="12" spans="1:18" ht="20.25" customHeight="1">
      <c r="A12" s="18" t="str">
        <f>INDEX(ProjeAnaVerisi[Proje No],8)</f>
        <v>P-008</v>
      </c>
      <c r="B12" s="19" t="str">
        <f>INDEX(ProjeAnaVerisi[Proje],8)</f>
        <v>Veri Ambarı Modernizasyonu</v>
      </c>
      <c r="C12" s="19" t="str">
        <f>INDEX(ProjeAnaVerisi[Sorumlu],8)</f>
        <v>Burak Yalçın</v>
      </c>
      <c r="D12" s="20" t="str">
        <f>INDEX(ProjeAnaVerisi[Sponsor],8)</f>
        <v>CIO</v>
      </c>
      <c r="E12" s="21">
        <f>INDEX(ProjeAnaVerisi[Onaylı Bütçe],8)</f>
        <v>29000000</v>
      </c>
      <c r="F12" s="21" cm="1">
        <f t="array" ref="F12">SUMIFS(ProjeAylikDurum[Harcanan],ProjeAylikDurum[Proje No],A12,ProjeAylikDurum[Dönem],MAX(IF(ProjeAylikDurum[Proje No]=A12,ProjeAylikDurum[Dönem])))</f>
        <v>28391266</v>
      </c>
      <c r="G12" s="22" cm="1">
        <f t="array" ref="G12">SUMIFS(ProjeAylikDurum[Gerçek Tamamlanma],ProjeAylikDurum[Proje No],A12,ProjeAylikDurum[Dönem],MAX(IF(ProjeAylikDurum[Proje No]=A12,ProjeAylikDurum[Dönem])))</f>
        <v>0.99869045579472226</v>
      </c>
      <c r="H12" s="21">
        <f>IF(G12=0,"İnceleme",F12/G12)</f>
        <v>28428494.370067094</v>
      </c>
      <c r="I12" s="22">
        <f>IF(ISNUMBER(H12),H12/E12,"N/A")</f>
        <v>0.98029290931265844</v>
      </c>
      <c r="J12" s="22" cm="1">
        <f t="array" ref="J12">SUMIFS(ProjeAylikDurum[Planlanan Tamamlanma],ProjeAylikDurum[Proje No],A12,ProjeAylikDurum[Dönem],MAX(IF(ProjeAylikDurum[Proje No]=A12,ProjeAylikDurum[Dönem])))-G12</f>
        <v>1.3095442052777351E-3</v>
      </c>
      <c r="K12" s="23" cm="1">
        <f t="array" ref="K12">SUMIFS(ProjeAylikDurum[Gecikme (Gün)],ProjeAylikDurum[Proje No],A12,ProjeAylikDurum[Dönem],MAX(IF(ProjeAylikDurum[Proje No]=A12,ProjeAylikDurum[Dönem])))</f>
        <v>0</v>
      </c>
      <c r="L12" s="22" cm="1">
        <f t="array" ref="L12">SUMIFS(ProjeAylikDurum[Ekip Yükü],ProjeAylikDurum[Proje No],A12,ProjeAylikDurum[Dönem],MAX(IF(ProjeAylikDurum[Proje No]=A12,ProjeAylikDurum[Dönem])))</f>
        <v>0.95139957173058154</v>
      </c>
      <c r="M12" s="20" t="str">
        <f>IF(OR(AND(ISNUMBER(I12),I12&gt;1.1),K12&gt;15,L12&gt;1.1),"KIRMIZI",IF(OR(AND(ISNUMBER(I12),I12&gt;1.05),K12&gt;10,L12&gt;1.05),"SARI","YEŞİL"))</f>
        <v>YEŞİL</v>
      </c>
      <c r="N12" s="20" t="str">
        <f>IF(M12="KIRMIZI",IF(AND(ISNUMBER(I12),I12&gt;1.1,L12&gt;1.1),"Bütçe Artırma + Ekip Takviyesi",IF(AND(ISNUMBER(I12),I12&gt;1.3),"Kapsam Daraltma",IF(K12&gt;15,"Bağımlılık Çözme",IF(L12&gt;1.1,"Ekip Yükü Azaltma","Bütçe Artırma")))),IF(M12="SARI","Yakın İzleme","-"))</f>
        <v>-</v>
      </c>
      <c r="O12" s="20" t="str">
        <f>IF(M12="KIRMIZI",D12,IF(M12="SARI","PMO","-"))</f>
        <v>-</v>
      </c>
      <c r="P12" s="20" t="str">
        <f>IFERROR(INDEX(ProjeAnaVerisi[Bağımlı Olduğu Proje],8),"-")</f>
        <v>P-004</v>
      </c>
      <c r="Q12" s="20">
        <f>COUNTIF(ProjeAnaVerisi[Bağımlı Olduğu Proje],A12)</f>
        <v>0</v>
      </c>
      <c r="R12" s="24" t="str">
        <f>IF(AND(M12="KIRMIZI",Q12&gt;0),"KRİTİK - "&amp;Q12&amp;" proje etkilenir",IF(AND(P12&lt;&gt;"-",P12&lt;&gt;"",IFERROR(VLOOKUP(P12,$A$5:$M$36,13,FALSE),"")="KIRMIZI"),"YÜKSEK - Bağımlı proje kırmızı",IF(Q12&gt;0,Q12&amp;" proje bağımlı","-")))</f>
        <v>-</v>
      </c>
    </row>
    <row r="13" spans="1:18" ht="20.25" customHeight="1">
      <c r="A13" s="11" t="str">
        <f>INDEX(ProjeAnaVerisi[Proje No],9)</f>
        <v>P-009</v>
      </c>
      <c r="B13" s="12" t="str">
        <f>INDEX(ProjeAnaVerisi[Proje],9)</f>
        <v>Tahsilat İş Akışı</v>
      </c>
      <c r="C13" s="12" t="str">
        <f>INDEX(ProjeAnaVerisi[Sorumlu],9)</f>
        <v>Ceren Aksoy</v>
      </c>
      <c r="D13" s="13" t="str">
        <f>INDEX(ProjeAnaVerisi[Sponsor],9)</f>
        <v>CFO</v>
      </c>
      <c r="E13" s="14">
        <f>INDEX(ProjeAnaVerisi[Onaylı Bütçe],9)</f>
        <v>14000000</v>
      </c>
      <c r="F13" s="14" cm="1">
        <f t="array" ref="F13">SUMIFS(ProjeAylikDurum[Harcanan],ProjeAylikDurum[Proje No],A13,ProjeAylikDurum[Dönem],MAX(IF(ProjeAylikDurum[Proje No]=A13,ProjeAylikDurum[Dönem])))</f>
        <v>12744165</v>
      </c>
      <c r="G13" s="15" cm="1">
        <f t="array" ref="G13">SUMIFS(ProjeAylikDurum[Gerçek Tamamlanma],ProjeAylikDurum[Proje No],A13,ProjeAylikDurum[Dönem],MAX(IF(ProjeAylikDurum[Proje No]=A13,ProjeAylikDurum[Dönem])))</f>
        <v>1</v>
      </c>
      <c r="H13" s="14">
        <f>IF(G13=0,"İnceleme",F13/G13)</f>
        <v>12744165</v>
      </c>
      <c r="I13" s="15">
        <f>IF(ISNUMBER(H13),H13/E13,"N/A")</f>
        <v>0.91029749999999998</v>
      </c>
      <c r="J13" s="15" cm="1">
        <f t="array" ref="J13">SUMIFS(ProjeAylikDurum[Planlanan Tamamlanma],ProjeAylikDurum[Proje No],A13,ProjeAylikDurum[Dönem],MAX(IF(ProjeAylikDurum[Proje No]=A13,ProjeAylikDurum[Dönem])))-G13</f>
        <v>0</v>
      </c>
      <c r="K13" s="16" cm="1">
        <f t="array" ref="K13">SUMIFS(ProjeAylikDurum[Gecikme (Gün)],ProjeAylikDurum[Proje No],A13,ProjeAylikDurum[Dönem],MAX(IF(ProjeAylikDurum[Proje No]=A13,ProjeAylikDurum[Dönem])))</f>
        <v>0</v>
      </c>
      <c r="L13" s="15" cm="1">
        <f t="array" ref="L13">SUMIFS(ProjeAylikDurum[Ekip Yükü],ProjeAylikDurum[Proje No],A13,ProjeAylikDurum[Dönem],MAX(IF(ProjeAylikDurum[Proje No]=A13,ProjeAylikDurum[Dönem])))</f>
        <v>0.91691111941842252</v>
      </c>
      <c r="M13" s="13" t="str">
        <f>IF(OR(AND(ISNUMBER(I13),I13&gt;1.1),K13&gt;15,L13&gt;1.1),"KIRMIZI",IF(OR(AND(ISNUMBER(I13),I13&gt;1.05),K13&gt;10,L13&gt;1.05),"SARI","YEŞİL"))</f>
        <v>YEŞİL</v>
      </c>
      <c r="N13" s="13" t="str">
        <f>IF(M13="KIRMIZI",IF(AND(ISNUMBER(I13),I13&gt;1.1,L13&gt;1.1),"Bütçe Artırma + Ekip Takviyesi",IF(AND(ISNUMBER(I13),I13&gt;1.3),"Kapsam Daraltma",IF(K13&gt;15,"Bağımlılık Çözme",IF(L13&gt;1.1,"Ekip Yükü Azaltma","Bütçe Artırma")))),IF(M13="SARI","Yakın İzleme","-"))</f>
        <v>-</v>
      </c>
      <c r="O13" s="13" t="str">
        <f>IF(M13="KIRMIZI",D13,IF(M13="SARI","PMO","-"))</f>
        <v>-</v>
      </c>
      <c r="P13" s="13" t="str">
        <f>IFERROR(INDEX(ProjeAnaVerisi[Bağımlı Olduğu Proje],9),"-")</f>
        <v>P-001</v>
      </c>
      <c r="Q13" s="13">
        <f>COUNTIF(ProjeAnaVerisi[Bağımlı Olduğu Proje],A13)</f>
        <v>0</v>
      </c>
      <c r="R13" s="17" t="str">
        <f>IF(AND(M13="KIRMIZI",Q13&gt;0),"KRİTİK - "&amp;Q13&amp;" proje etkilenir",IF(AND(P13&lt;&gt;"-",P13&lt;&gt;"",IFERROR(VLOOKUP(P13,$A$5:$M$36,13,FALSE),"")="KIRMIZI"),"YÜKSEK - Bağımlı proje kırmızı",IF(Q13&gt;0,Q13&amp;" proje bağımlı","-")))</f>
        <v>YÜKSEK - Bağımlı proje kırmızı</v>
      </c>
    </row>
    <row r="14" spans="1:18" ht="20.25" customHeight="1">
      <c r="A14" s="18" t="str">
        <f>INDEX(ProjeAnaVerisi[Proje No],10)</f>
        <v>P-010</v>
      </c>
      <c r="B14" s="19" t="str">
        <f>INDEX(ProjeAnaVerisi[Proje],10)</f>
        <v>Ürün Ana Veri Temizliği</v>
      </c>
      <c r="C14" s="19" t="str">
        <f>INDEX(ProjeAnaVerisi[Sorumlu],10)</f>
        <v>Deniz Koç</v>
      </c>
      <c r="D14" s="20" t="str">
        <f>INDEX(ProjeAnaVerisi[Sponsor],10)</f>
        <v>COO</v>
      </c>
      <c r="E14" s="21">
        <f>INDEX(ProjeAnaVerisi[Onaylı Bütçe],10)</f>
        <v>9000000</v>
      </c>
      <c r="F14" s="21" cm="1">
        <f t="array" ref="F14">SUMIFS(ProjeAylikDurum[Harcanan],ProjeAylikDurum[Proje No],A14,ProjeAylikDurum[Dönem],MAX(IF(ProjeAylikDurum[Proje No]=A14,ProjeAylikDurum[Dönem])))</f>
        <v>9603879</v>
      </c>
      <c r="G14" s="22" cm="1">
        <f t="array" ref="G14">SUMIFS(ProjeAylikDurum[Gerçek Tamamlanma],ProjeAylikDurum[Proje No],A14,ProjeAylikDurum[Dönem],MAX(IF(ProjeAylikDurum[Proje No]=A14,ProjeAylikDurum[Dönem])))</f>
        <v>0.97927957059731296</v>
      </c>
      <c r="H14" s="21">
        <f>IF(G14=0,"İnceleme",F14/G14)</f>
        <v>9807086.0338096302</v>
      </c>
      <c r="I14" s="22">
        <f>IF(ISNUMBER(H14),H14/E14,"N/A")</f>
        <v>1.0896762259788477</v>
      </c>
      <c r="J14" s="22" cm="1">
        <f t="array" ref="J14">SUMIFS(ProjeAylikDurum[Planlanan Tamamlanma],ProjeAylikDurum[Proje No],A14,ProjeAylikDurum[Dönem],MAX(IF(ProjeAylikDurum[Proje No]=A14,ProjeAylikDurum[Dönem])))-G14</f>
        <v>0</v>
      </c>
      <c r="K14" s="23" cm="1">
        <f t="array" ref="K14">SUMIFS(ProjeAylikDurum[Gecikme (Gün)],ProjeAylikDurum[Proje No],A14,ProjeAylikDurum[Dönem],MAX(IF(ProjeAylikDurum[Proje No]=A14,ProjeAylikDurum[Dönem])))</f>
        <v>0</v>
      </c>
      <c r="L14" s="22" cm="1">
        <f t="array" ref="L14">SUMIFS(ProjeAylikDurum[Ekip Yükü],ProjeAylikDurum[Proje No],A14,ProjeAylikDurum[Dönem],MAX(IF(ProjeAylikDurum[Proje No]=A14,ProjeAylikDurum[Dönem])))</f>
        <v>0.80708812712783429</v>
      </c>
      <c r="M14" s="20" t="str">
        <f>IF(OR(AND(ISNUMBER(I14),I14&gt;1.1),K14&gt;15,L14&gt;1.1),"KIRMIZI",IF(OR(AND(ISNUMBER(I14),I14&gt;1.05),K14&gt;10,L14&gt;1.05),"SARI","YEŞİL"))</f>
        <v>SARI</v>
      </c>
      <c r="N14" s="20" t="str">
        <f>IF(M14="KIRMIZI",IF(AND(ISNUMBER(I14),I14&gt;1.1,L14&gt;1.1),"Bütçe Artırma + Ekip Takviyesi",IF(AND(ISNUMBER(I14),I14&gt;1.3),"Kapsam Daraltma",IF(K14&gt;15,"Bağımlılık Çözme",IF(L14&gt;1.1,"Ekip Yükü Azaltma","Bütçe Artırma")))),IF(M14="SARI","Yakın İzleme","-"))</f>
        <v>Yakın İzleme</v>
      </c>
      <c r="O14" s="20" t="str">
        <f>IF(M14="KIRMIZI",D14,IF(M14="SARI","PMO","-"))</f>
        <v>PMO</v>
      </c>
      <c r="P14" s="20" t="str">
        <f>IFERROR(INDEX(ProjeAnaVerisi[Bağımlı Olduğu Proje],10),"-")</f>
        <v>P-002</v>
      </c>
      <c r="Q14" s="20">
        <f>COUNTIF(ProjeAnaVerisi[Bağımlı Olduğu Proje],A14)</f>
        <v>0</v>
      </c>
      <c r="R14" s="24" t="str">
        <f>IF(AND(M14="KIRMIZI",Q14&gt;0),"KRİTİK - "&amp;Q14&amp;" proje etkilenir",IF(AND(P14&lt;&gt;"-",P14&lt;&gt;"",IFERROR(VLOOKUP(P14,$A$5:$M$36,13,FALSE),"")="KIRMIZI"),"YÜKSEK - Bağımlı proje kırmızı",IF(Q14&gt;0,Q14&amp;" proje bağımlı","-")))</f>
        <v>YÜKSEK - Bağımlı proje kırmızı</v>
      </c>
    </row>
    <row r="15" spans="1:18" ht="20.25" customHeight="1">
      <c r="A15" s="11" t="str">
        <f>INDEX(ProjeAnaVerisi[Proje No],11)</f>
        <v>P-011</v>
      </c>
      <c r="B15" s="12" t="str">
        <f>INDEX(ProjeAnaVerisi[Proje],11)</f>
        <v>İzmir Depo Taşıma</v>
      </c>
      <c r="C15" s="12" t="str">
        <f>INDEX(ProjeAnaVerisi[Sorumlu],11)</f>
        <v>Ece Şahin</v>
      </c>
      <c r="D15" s="13" t="str">
        <f>INDEX(ProjeAnaVerisi[Sponsor],11)</f>
        <v>CCO</v>
      </c>
      <c r="E15" s="14">
        <f>INDEX(ProjeAnaVerisi[Onaylı Bütçe],11)</f>
        <v>27500000</v>
      </c>
      <c r="F15" s="14" cm="1">
        <f t="array" ref="F15">SUMIFS(ProjeAylikDurum[Harcanan],ProjeAylikDurum[Proje No],A15,ProjeAylikDurum[Dönem],MAX(IF(ProjeAylikDurum[Proje No]=A15,ProjeAylikDurum[Dönem])))</f>
        <v>24411164</v>
      </c>
      <c r="G15" s="15" cm="1">
        <f t="array" ref="G15">SUMIFS(ProjeAylikDurum[Gerçek Tamamlanma],ProjeAylikDurum[Proje No],A15,ProjeAylikDurum[Dönem],MAX(IF(ProjeAylikDurum[Proje No]=A15,ProjeAylikDurum[Dönem])))</f>
        <v>0.98399767930844639</v>
      </c>
      <c r="H15" s="14">
        <f>IF(G15=0,"İnceleme",F15/G15)</f>
        <v>24808152.004134975</v>
      </c>
      <c r="I15" s="15">
        <f>IF(ISNUMBER(H15),H15/E15,"N/A")</f>
        <v>0.90211461833218087</v>
      </c>
      <c r="J15" s="15" cm="1">
        <f t="array" ref="J15">SUMIFS(ProjeAylikDurum[Planlanan Tamamlanma],ProjeAylikDurum[Proje No],A15,ProjeAylikDurum[Dönem],MAX(IF(ProjeAylikDurum[Proje No]=A15,ProjeAylikDurum[Dönem])))-G15</f>
        <v>1.6002320691553606E-2</v>
      </c>
      <c r="K15" s="16" cm="1">
        <f t="array" ref="K15">SUMIFS(ProjeAylikDurum[Gecikme (Gün)],ProjeAylikDurum[Proje No],A15,ProjeAylikDurum[Dönem],MAX(IF(ProjeAylikDurum[Proje No]=A15,ProjeAylikDurum[Dönem])))</f>
        <v>1</v>
      </c>
      <c r="L15" s="15" cm="1">
        <f t="array" ref="L15">SUMIFS(ProjeAylikDurum[Ekip Yükü],ProjeAylikDurum[Proje No],A15,ProjeAylikDurum[Dönem],MAX(IF(ProjeAylikDurum[Proje No]=A15,ProjeAylikDurum[Dönem])))</f>
        <v>0.94453454287762706</v>
      </c>
      <c r="M15" s="13" t="str">
        <f>IF(OR(AND(ISNUMBER(I15),I15&gt;1.1),K15&gt;15,L15&gt;1.1),"KIRMIZI",IF(OR(AND(ISNUMBER(I15),I15&gt;1.05),K15&gt;10,L15&gt;1.05),"SARI","YEŞİL"))</f>
        <v>YEŞİL</v>
      </c>
      <c r="N15" s="13" t="str">
        <f>IF(M15="KIRMIZI",IF(AND(ISNUMBER(I15),I15&gt;1.1,L15&gt;1.1),"Bütçe Artırma + Ekip Takviyesi",IF(AND(ISNUMBER(I15),I15&gt;1.3),"Kapsam Daraltma",IF(K15&gt;15,"Bağımlılık Çözme",IF(L15&gt;1.1,"Ekip Yükü Azaltma","Bütçe Artırma")))),IF(M15="SARI","Yakın İzleme","-"))</f>
        <v>-</v>
      </c>
      <c r="O15" s="13" t="str">
        <f>IF(M15="KIRMIZI",D15,IF(M15="SARI","PMO","-"))</f>
        <v>-</v>
      </c>
      <c r="P15" s="13" t="str">
        <f>IFERROR(INDEX(ProjeAnaVerisi[Bağımlı Olduğu Proje],11),"-")</f>
        <v>P-003</v>
      </c>
      <c r="Q15" s="13">
        <f>COUNTIF(ProjeAnaVerisi[Bağımlı Olduğu Proje],A15)</f>
        <v>0</v>
      </c>
      <c r="R15" s="17" t="str">
        <f>IF(AND(M15="KIRMIZI",Q15&gt;0),"KRİTİK - "&amp;Q15&amp;" proje etkilenir",IF(AND(P15&lt;&gt;"-",P15&lt;&gt;"",IFERROR(VLOOKUP(P15,$A$5:$M$36,13,FALSE),"")="KIRMIZI"),"YÜKSEK - Bağımlı proje kırmızı",IF(Q15&gt;0,Q15&amp;" proje bağımlı","-")))</f>
        <v>YÜKSEK - Bağımlı proje kırmızı</v>
      </c>
    </row>
    <row r="16" spans="1:18" ht="20.25" customHeight="1">
      <c r="A16" s="18" t="str">
        <f>INDEX(ProjeAnaVerisi[Proje No],12)</f>
        <v>P-012</v>
      </c>
      <c r="B16" s="19" t="str">
        <f>INDEX(ProjeAnaVerisi[Proje],12)</f>
        <v>Online İade Azaltma</v>
      </c>
      <c r="C16" s="19" t="str">
        <f>INDEX(ProjeAnaVerisi[Sorumlu],12)</f>
        <v>Mert Arslan</v>
      </c>
      <c r="D16" s="20" t="str">
        <f>INDEX(ProjeAnaVerisi[Sponsor],12)</f>
        <v>CIO</v>
      </c>
      <c r="E16" s="21">
        <f>INDEX(ProjeAnaVerisi[Onaylı Bütçe],12)</f>
        <v>12000000</v>
      </c>
      <c r="F16" s="21" cm="1">
        <f t="array" ref="F16">SUMIFS(ProjeAylikDurum[Harcanan],ProjeAylikDurum[Proje No],A16,ProjeAylikDurum[Dönem],MAX(IF(ProjeAylikDurum[Proje No]=A16,ProjeAylikDurum[Dönem])))</f>
        <v>13870818</v>
      </c>
      <c r="G16" s="22" cm="1">
        <f t="array" ref="G16">SUMIFS(ProjeAylikDurum[Gerçek Tamamlanma],ProjeAylikDurum[Proje No],A16,ProjeAylikDurum[Dönem],MAX(IF(ProjeAylikDurum[Proje No]=A16,ProjeAylikDurum[Dönem])))</f>
        <v>0.80340973751604206</v>
      </c>
      <c r="H16" s="21">
        <f>IF(G16=0,"İnceleme",F16/G16)</f>
        <v>17264936.373419341</v>
      </c>
      <c r="I16" s="22">
        <f>IF(ISNUMBER(H16),H16/E16,"N/A")</f>
        <v>1.438744697784945</v>
      </c>
      <c r="J16" s="22" cm="1">
        <f t="array" ref="J16">SUMIFS(ProjeAylikDurum[Planlanan Tamamlanma],ProjeAylikDurum[Proje No],A16,ProjeAylikDurum[Dönem],MAX(IF(ProjeAylikDurum[Proje No]=A16,ProjeAylikDurum[Dönem])))-G16</f>
        <v>0.13852141802971984</v>
      </c>
      <c r="K16" s="23" cm="1">
        <f t="array" ref="K16">SUMIFS(ProjeAylikDurum[Gecikme (Gün)],ProjeAylikDurum[Proje No],A16,ProjeAylikDurum[Dönem],MAX(IF(ProjeAylikDurum[Proje No]=A16,ProjeAylikDurum[Dönem])))</f>
        <v>12</v>
      </c>
      <c r="L16" s="22" cm="1">
        <f t="array" ref="L16">SUMIFS(ProjeAylikDurum[Ekip Yükü],ProjeAylikDurum[Proje No],A16,ProjeAylikDurum[Dönem],MAX(IF(ProjeAylikDurum[Proje No]=A16,ProjeAylikDurum[Dönem])))</f>
        <v>0.99776898899729682</v>
      </c>
      <c r="M16" s="20" t="str">
        <f>IF(OR(AND(ISNUMBER(I16),I16&gt;1.1),K16&gt;15,L16&gt;1.1),"KIRMIZI",IF(OR(AND(ISNUMBER(I16),I16&gt;1.05),K16&gt;10,L16&gt;1.05),"SARI","YEŞİL"))</f>
        <v>KIRMIZI</v>
      </c>
      <c r="N16" s="20" t="str">
        <f>IF(M16="KIRMIZI",IF(AND(ISNUMBER(I16),I16&gt;1.1,L16&gt;1.1),"Bütçe Artırma + Ekip Takviyesi",IF(AND(ISNUMBER(I16),I16&gt;1.3),"Kapsam Daraltma",IF(K16&gt;15,"Bağımlılık Çözme",IF(L16&gt;1.1,"Ekip Yükü Azaltma","Bütçe Artırma")))),IF(M16="SARI","Yakın İzleme","-"))</f>
        <v>Kapsam Daraltma</v>
      </c>
      <c r="O16" s="20" t="str">
        <f>IF(M16="KIRMIZI",D16,IF(M16="SARI","PMO","-"))</f>
        <v>CIO</v>
      </c>
      <c r="P16" s="20" t="str">
        <f>IFERROR(INDEX(ProjeAnaVerisi[Bağımlı Olduğu Proje],12),"-")</f>
        <v>P-004</v>
      </c>
      <c r="Q16" s="20">
        <f>COUNTIF(ProjeAnaVerisi[Bağımlı Olduğu Proje],A16)</f>
        <v>0</v>
      </c>
      <c r="R16" s="24" t="str">
        <f>IF(AND(M16="KIRMIZI",Q16&gt;0),"KRİTİK - "&amp;Q16&amp;" proje etkilenir",IF(AND(P16&lt;&gt;"-",P16&lt;&gt;"",IFERROR(VLOOKUP(P16,$A$5:$M$36,13,FALSE),"")="KIRMIZI"),"YÜKSEK - Bağımlı proje kırmızı",IF(Q16&gt;0,Q16&amp;" proje bağımlı","-")))</f>
        <v>-</v>
      </c>
    </row>
    <row r="17" spans="1:18" ht="20.25" customHeight="1">
      <c r="A17" s="11" t="str">
        <f>INDEX(ProjeAnaVerisi[Proje No],13)</f>
        <v>P-013</v>
      </c>
      <c r="B17" s="12" t="str">
        <f>INDEX(ProjeAnaVerisi[Proje],13)</f>
        <v>Tedarikçi Risk İzleme</v>
      </c>
      <c r="C17" s="12" t="str">
        <f>INDEX(ProjeAnaVerisi[Sorumlu],13)</f>
        <v>Aylin Demir</v>
      </c>
      <c r="D17" s="13" t="str">
        <f>INDEX(ProjeAnaVerisi[Sponsor],13)</f>
        <v>CFO</v>
      </c>
      <c r="E17" s="14">
        <f>INDEX(ProjeAnaVerisi[Onaylı Bütçe],13)</f>
        <v>32000000</v>
      </c>
      <c r="F17" s="14" cm="1">
        <f t="array" ref="F17">SUMIFS(ProjeAylikDurum[Harcanan],ProjeAylikDurum[Proje No],A17,ProjeAylikDurum[Dönem],MAX(IF(ProjeAylikDurum[Proje No]=A17,ProjeAylikDurum[Dönem])))</f>
        <v>32152517</v>
      </c>
      <c r="G17" s="15" cm="1">
        <f t="array" ref="G17">SUMIFS(ProjeAylikDurum[Gerçek Tamamlanma],ProjeAylikDurum[Proje No],A17,ProjeAylikDurum[Dönem],MAX(IF(ProjeAylikDurum[Proje No]=A17,ProjeAylikDurum[Dönem])))</f>
        <v>0.96688014868127936</v>
      </c>
      <c r="H17" s="14">
        <f>IF(G17=0,"İnceleme",F17/G17)</f>
        <v>33253880.580599964</v>
      </c>
      <c r="I17" s="15">
        <f>IF(ISNUMBER(H17),H17/E17,"N/A")</f>
        <v>1.0391837681437488</v>
      </c>
      <c r="J17" s="15" cm="1">
        <f t="array" ref="J17">SUMIFS(ProjeAylikDurum[Planlanan Tamamlanma],ProjeAylikDurum[Proje No],A17,ProjeAylikDurum[Dönem],MAX(IF(ProjeAylikDurum[Proje No]=A17,ProjeAylikDurum[Dönem])))-G17</f>
        <v>3.3119851318720639E-2</v>
      </c>
      <c r="K17" s="16" cm="1">
        <f t="array" ref="K17">SUMIFS(ProjeAylikDurum[Gecikme (Gün)],ProjeAylikDurum[Proje No],A17,ProjeAylikDurum[Dönem],MAX(IF(ProjeAylikDurum[Proje No]=A17,ProjeAylikDurum[Dönem])))</f>
        <v>3</v>
      </c>
      <c r="L17" s="15" cm="1">
        <f t="array" ref="L17">SUMIFS(ProjeAylikDurum[Ekip Yükü],ProjeAylikDurum[Proje No],A17,ProjeAylikDurum[Dönem],MAX(IF(ProjeAylikDurum[Proje No]=A17,ProjeAylikDurum[Dönem])))</f>
        <v>0.72578468235677362</v>
      </c>
      <c r="M17" s="13" t="str">
        <f>IF(OR(AND(ISNUMBER(I17),I17&gt;1.1),K17&gt;15,L17&gt;1.1),"KIRMIZI",IF(OR(AND(ISNUMBER(I17),I17&gt;1.05),K17&gt;10,L17&gt;1.05),"SARI","YEŞİL"))</f>
        <v>YEŞİL</v>
      </c>
      <c r="N17" s="13" t="str">
        <f>IF(M17="KIRMIZI",IF(AND(ISNUMBER(I17),I17&gt;1.1,L17&gt;1.1),"Bütçe Artırma + Ekip Takviyesi",IF(AND(ISNUMBER(I17),I17&gt;1.3),"Kapsam Daraltma",IF(K17&gt;15,"Bağımlılık Çözme",IF(L17&gt;1.1,"Ekip Yükü Azaltma","Bütçe Artırma")))),IF(M17="SARI","Yakın İzleme","-"))</f>
        <v>-</v>
      </c>
      <c r="O17" s="13" t="str">
        <f>IF(M17="KIRMIZI",D17,IF(M17="SARI","PMO","-"))</f>
        <v>-</v>
      </c>
      <c r="P17" s="13" t="str">
        <f>IFERROR(INDEX(ProjeAnaVerisi[Bağımlı Olduğu Proje],13),"-")</f>
        <v>P-001</v>
      </c>
      <c r="Q17" s="13">
        <f>COUNTIF(ProjeAnaVerisi[Bağımlı Olduğu Proje],A17)</f>
        <v>0</v>
      </c>
      <c r="R17" s="17" t="str">
        <f>IF(AND(M17="KIRMIZI",Q17&gt;0),"KRİTİK - "&amp;Q17&amp;" proje etkilenir",IF(AND(P17&lt;&gt;"-",P17&lt;&gt;"",IFERROR(VLOOKUP(P17,$A$5:$M$36,13,FALSE),"")="KIRMIZI"),"YÜKSEK - Bağımlı proje kırmızı",IF(Q17&gt;0,Q17&amp;" proje bağımlı","-")))</f>
        <v>YÜKSEK - Bağımlı proje kırmızı</v>
      </c>
    </row>
    <row r="18" spans="1:18" ht="20.25" customHeight="1">
      <c r="A18" s="18" t="str">
        <f>INDEX(ProjeAnaVerisi[Proje No],14)</f>
        <v>P-014</v>
      </c>
      <c r="B18" s="19" t="str">
        <f>INDEX(ProjeAnaVerisi[Proje],14)</f>
        <v>Planlama Modeli Yenileme</v>
      </c>
      <c r="C18" s="19" t="str">
        <f>INDEX(ProjeAnaVerisi[Sorumlu],14)</f>
        <v>Burak Yalçın</v>
      </c>
      <c r="D18" s="20" t="str">
        <f>INDEX(ProjeAnaVerisi[Sponsor],14)</f>
        <v>COO</v>
      </c>
      <c r="E18" s="21">
        <f>INDEX(ProjeAnaVerisi[Onaylı Bütçe],14)</f>
        <v>28500000</v>
      </c>
      <c r="F18" s="21" cm="1">
        <f t="array" ref="F18">SUMIFS(ProjeAylikDurum[Harcanan],ProjeAylikDurum[Proje No],A18,ProjeAylikDurum[Dönem],MAX(IF(ProjeAylikDurum[Proje No]=A18,ProjeAylikDurum[Dönem])))</f>
        <v>26226690</v>
      </c>
      <c r="G18" s="22" cm="1">
        <f t="array" ref="G18">SUMIFS(ProjeAylikDurum[Gerçek Tamamlanma],ProjeAylikDurum[Proje No],A18,ProjeAylikDurum[Dönem],MAX(IF(ProjeAylikDurum[Proje No]=A18,ProjeAylikDurum[Dönem])))</f>
        <v>0.99843866714317464</v>
      </c>
      <c r="H18" s="21">
        <f>IF(G18=0,"İnceleme",F18/G18)</f>
        <v>26267702.627185144</v>
      </c>
      <c r="I18" s="22">
        <f>IF(ISNUMBER(H18),H18/E18,"N/A")</f>
        <v>0.92167377639246117</v>
      </c>
      <c r="J18" s="22" cm="1">
        <f t="array" ref="J18">SUMIFS(ProjeAylikDurum[Planlanan Tamamlanma],ProjeAylikDurum[Proje No],A18,ProjeAylikDurum[Dönem],MAX(IF(ProjeAylikDurum[Proje No]=A18,ProjeAylikDurum[Dönem])))-G18</f>
        <v>1.5613328568253593E-3</v>
      </c>
      <c r="K18" s="23" cm="1">
        <f t="array" ref="K18">SUMIFS(ProjeAylikDurum[Gecikme (Gün)],ProjeAylikDurum[Proje No],A18,ProjeAylikDurum[Dönem],MAX(IF(ProjeAylikDurum[Proje No]=A18,ProjeAylikDurum[Dönem])))</f>
        <v>0</v>
      </c>
      <c r="L18" s="22" cm="1">
        <f t="array" ref="L18">SUMIFS(ProjeAylikDurum[Ekip Yükü],ProjeAylikDurum[Proje No],A18,ProjeAylikDurum[Dönem],MAX(IF(ProjeAylikDurum[Proje No]=A18,ProjeAylikDurum[Dönem])))</f>
        <v>0.95716101074538829</v>
      </c>
      <c r="M18" s="20" t="str">
        <f>IF(OR(AND(ISNUMBER(I18),I18&gt;1.1),K18&gt;15,L18&gt;1.1),"KIRMIZI",IF(OR(AND(ISNUMBER(I18),I18&gt;1.05),K18&gt;10,L18&gt;1.05),"SARI","YEŞİL"))</f>
        <v>YEŞİL</v>
      </c>
      <c r="N18" s="20" t="str">
        <f>IF(M18="KIRMIZI",IF(AND(ISNUMBER(I18),I18&gt;1.1,L18&gt;1.1),"Bütçe Artırma + Ekip Takviyesi",IF(AND(ISNUMBER(I18),I18&gt;1.3),"Kapsam Daraltma",IF(K18&gt;15,"Bağımlılık Çözme",IF(L18&gt;1.1,"Ekip Yükü Azaltma","Bütçe Artırma")))),IF(M18="SARI","Yakın İzleme","-"))</f>
        <v>-</v>
      </c>
      <c r="O18" s="20" t="str">
        <f>IF(M18="KIRMIZI",D18,IF(M18="SARI","PMO","-"))</f>
        <v>-</v>
      </c>
      <c r="P18" s="20" t="str">
        <f>IFERROR(INDEX(ProjeAnaVerisi[Bağımlı Olduğu Proje],14),"-")</f>
        <v>P-002</v>
      </c>
      <c r="Q18" s="20">
        <f>COUNTIF(ProjeAnaVerisi[Bağımlı Olduğu Proje],A18)</f>
        <v>0</v>
      </c>
      <c r="R18" s="24" t="str">
        <f>IF(AND(M18="KIRMIZI",Q18&gt;0),"KRİTİK - "&amp;Q18&amp;" proje etkilenir",IF(AND(P18&lt;&gt;"-",P18&lt;&gt;"",IFERROR(VLOOKUP(P18,$A$5:$M$36,13,FALSE),"")="KIRMIZI"),"YÜKSEK - Bağımlı proje kırmızı",IF(Q18&gt;0,Q18&amp;" proje bağımlı","-")))</f>
        <v>YÜKSEK - Bağımlı proje kırmızı</v>
      </c>
    </row>
    <row r="19" spans="1:18" ht="20.25" customHeight="1">
      <c r="A19" s="11" t="str">
        <f>INDEX(ProjeAnaVerisi[Proje No],15)</f>
        <v>P-015</v>
      </c>
      <c r="B19" s="12" t="str">
        <f>INDEX(ProjeAnaVerisi[Proje],15)</f>
        <v>Fiyatlandırma Motoru</v>
      </c>
      <c r="C19" s="12" t="str">
        <f>INDEX(ProjeAnaVerisi[Sorumlu],15)</f>
        <v>Ceren Aksoy</v>
      </c>
      <c r="D19" s="13" t="str">
        <f>INDEX(ProjeAnaVerisi[Sponsor],15)</f>
        <v>CCO</v>
      </c>
      <c r="E19" s="14">
        <f>INDEX(ProjeAnaVerisi[Onaylı Bütçe],15)</f>
        <v>15500000</v>
      </c>
      <c r="F19" s="14" cm="1">
        <f t="array" ref="F19">SUMIFS(ProjeAylikDurum[Harcanan],ProjeAylikDurum[Proje No],A19,ProjeAylikDurum[Dönem],MAX(IF(ProjeAylikDurum[Proje No]=A19,ProjeAylikDurum[Dönem])))</f>
        <v>15002743</v>
      </c>
      <c r="G19" s="15" cm="1">
        <f t="array" ref="G19">SUMIFS(ProjeAylikDurum[Gerçek Tamamlanma],ProjeAylikDurum[Proje No],A19,ProjeAylikDurum[Dönem],MAX(IF(ProjeAylikDurum[Proje No]=A19,ProjeAylikDurum[Dönem])))</f>
        <v>0.97143360078857333</v>
      </c>
      <c r="H19" s="14">
        <f>IF(G19=0,"İnceleme",F19/G19)</f>
        <v>15443920.189523336</v>
      </c>
      <c r="I19" s="15">
        <f>IF(ISNUMBER(H19),H19/E19,"N/A")</f>
        <v>0.99638194771118294</v>
      </c>
      <c r="J19" s="15" cm="1">
        <f t="array" ref="J19">SUMIFS(ProjeAylikDurum[Planlanan Tamamlanma],ProjeAylikDurum[Proje No],A19,ProjeAylikDurum[Dönem],MAX(IF(ProjeAylikDurum[Proje No]=A19,ProjeAylikDurum[Dönem])))-G19</f>
        <v>2.8566399211426674E-2</v>
      </c>
      <c r="K19" s="16" cm="1">
        <f t="array" ref="K19">SUMIFS(ProjeAylikDurum[Gecikme (Gün)],ProjeAylikDurum[Proje No],A19,ProjeAylikDurum[Dönem],MAX(IF(ProjeAylikDurum[Proje No]=A19,ProjeAylikDurum[Dönem])))</f>
        <v>3</v>
      </c>
      <c r="L19" s="15" cm="1">
        <f t="array" ref="L19">SUMIFS(ProjeAylikDurum[Ekip Yükü],ProjeAylikDurum[Proje No],A19,ProjeAylikDurum[Dönem],MAX(IF(ProjeAylikDurum[Proje No]=A19,ProjeAylikDurum[Dönem])))</f>
        <v>0.72267862281804984</v>
      </c>
      <c r="M19" s="13" t="str">
        <f>IF(OR(AND(ISNUMBER(I19),I19&gt;1.1),K19&gt;15,L19&gt;1.1),"KIRMIZI",IF(OR(AND(ISNUMBER(I19),I19&gt;1.05),K19&gt;10,L19&gt;1.05),"SARI","YEŞİL"))</f>
        <v>YEŞİL</v>
      </c>
      <c r="N19" s="13" t="str">
        <f>IF(M19="KIRMIZI",IF(AND(ISNUMBER(I19),I19&gt;1.1,L19&gt;1.1),"Bütçe Artırma + Ekip Takviyesi",IF(AND(ISNUMBER(I19),I19&gt;1.3),"Kapsam Daraltma",IF(K19&gt;15,"Bağımlılık Çözme",IF(L19&gt;1.1,"Ekip Yükü Azaltma","Bütçe Artırma")))),IF(M19="SARI","Yakın İzleme","-"))</f>
        <v>-</v>
      </c>
      <c r="O19" s="13" t="str">
        <f>IF(M19="KIRMIZI",D19,IF(M19="SARI","PMO","-"))</f>
        <v>-</v>
      </c>
      <c r="P19" s="13" t="str">
        <f>IFERROR(INDEX(ProjeAnaVerisi[Bağımlı Olduğu Proje],15),"-")</f>
        <v>P-003</v>
      </c>
      <c r="Q19" s="13">
        <f>COUNTIF(ProjeAnaVerisi[Bağımlı Olduğu Proje],A19)</f>
        <v>0</v>
      </c>
      <c r="R19" s="17" t="str">
        <f>IF(AND(M19="KIRMIZI",Q19&gt;0),"KRİTİK - "&amp;Q19&amp;" proje etkilenir",IF(AND(P19&lt;&gt;"-",P19&lt;&gt;"",IFERROR(VLOOKUP(P19,$A$5:$M$36,13,FALSE),"")="KIRMIZI"),"YÜKSEK - Bağımlı proje kırmızı",IF(Q19&gt;0,Q19&amp;" proje bağımlı","-")))</f>
        <v>YÜKSEK - Bağımlı proje kırmızı</v>
      </c>
    </row>
    <row r="20" spans="1:18" ht="20.25" customHeight="1">
      <c r="A20" s="18" t="str">
        <f>INDEX(ProjeAnaVerisi[Proje No],16)</f>
        <v>P-016</v>
      </c>
      <c r="B20" s="19" t="str">
        <f>INDEX(ProjeAnaVerisi[Proje],16)</f>
        <v>Enerji Verimliliği</v>
      </c>
      <c r="C20" s="19" t="str">
        <f>INDEX(ProjeAnaVerisi[Sorumlu],16)</f>
        <v>Deniz Koç</v>
      </c>
      <c r="D20" s="20" t="str">
        <f>INDEX(ProjeAnaVerisi[Sponsor],16)</f>
        <v>CIO</v>
      </c>
      <c r="E20" s="21">
        <f>INDEX(ProjeAnaVerisi[Onaylı Bütçe],16)</f>
        <v>10000000</v>
      </c>
      <c r="F20" s="21" cm="1">
        <f t="array" ref="F20">SUMIFS(ProjeAylikDurum[Harcanan],ProjeAylikDurum[Proje No],A20,ProjeAylikDurum[Dönem],MAX(IF(ProjeAylikDurum[Proje No]=A20,ProjeAylikDurum[Dönem])))</f>
        <v>9720104</v>
      </c>
      <c r="G20" s="22" cm="1">
        <f t="array" ref="G20">SUMIFS(ProjeAylikDurum[Gerçek Tamamlanma],ProjeAylikDurum[Proje No],A20,ProjeAylikDurum[Dönem],MAX(IF(ProjeAylikDurum[Proje No]=A20,ProjeAylikDurum[Dönem])))</f>
        <v>1</v>
      </c>
      <c r="H20" s="21">
        <f>IF(G20=0,"İnceleme",F20/G20)</f>
        <v>9720104</v>
      </c>
      <c r="I20" s="22">
        <f>IF(ISNUMBER(H20),H20/E20,"N/A")</f>
        <v>0.97201040000000005</v>
      </c>
      <c r="J20" s="22" cm="1">
        <f t="array" ref="J20">SUMIFS(ProjeAylikDurum[Planlanan Tamamlanma],ProjeAylikDurum[Proje No],A20,ProjeAylikDurum[Dönem],MAX(IF(ProjeAylikDurum[Proje No]=A20,ProjeAylikDurum[Dönem])))-G20</f>
        <v>0</v>
      </c>
      <c r="K20" s="23" cm="1">
        <f t="array" ref="K20">SUMIFS(ProjeAylikDurum[Gecikme (Gün)],ProjeAylikDurum[Proje No],A20,ProjeAylikDurum[Dönem],MAX(IF(ProjeAylikDurum[Proje No]=A20,ProjeAylikDurum[Dönem])))</f>
        <v>0</v>
      </c>
      <c r="L20" s="22" cm="1">
        <f t="array" ref="L20">SUMIFS(ProjeAylikDurum[Ekip Yükü],ProjeAylikDurum[Proje No],A20,ProjeAylikDurum[Dönem],MAX(IF(ProjeAylikDurum[Proje No]=A20,ProjeAylikDurum[Dönem])))</f>
        <v>0.91575397718782514</v>
      </c>
      <c r="M20" s="20" t="str">
        <f>IF(OR(AND(ISNUMBER(I20),I20&gt;1.1),K20&gt;15,L20&gt;1.1),"KIRMIZI",IF(OR(AND(ISNUMBER(I20),I20&gt;1.05),K20&gt;10,L20&gt;1.05),"SARI","YEŞİL"))</f>
        <v>YEŞİL</v>
      </c>
      <c r="N20" s="20" t="str">
        <f>IF(M20="KIRMIZI",IF(AND(ISNUMBER(I20),I20&gt;1.1,L20&gt;1.1),"Bütçe Artırma + Ekip Takviyesi",IF(AND(ISNUMBER(I20),I20&gt;1.3),"Kapsam Daraltma",IF(K20&gt;15,"Bağımlılık Çözme",IF(L20&gt;1.1,"Ekip Yükü Azaltma","Bütçe Artırma")))),IF(M20="SARI","Yakın İzleme","-"))</f>
        <v>-</v>
      </c>
      <c r="O20" s="20" t="str">
        <f>IF(M20="KIRMIZI",D20,IF(M20="SARI","PMO","-"))</f>
        <v>-</v>
      </c>
      <c r="P20" s="20" t="str">
        <f>IFERROR(INDEX(ProjeAnaVerisi[Bağımlı Olduğu Proje],16),"-")</f>
        <v>P-004</v>
      </c>
      <c r="Q20" s="20">
        <f>COUNTIF(ProjeAnaVerisi[Bağımlı Olduğu Proje],A20)</f>
        <v>0</v>
      </c>
      <c r="R20" s="24" t="str">
        <f>IF(AND(M20="KIRMIZI",Q20&gt;0),"KRİTİK - "&amp;Q20&amp;" proje etkilenir",IF(AND(P20&lt;&gt;"-",P20&lt;&gt;"",IFERROR(VLOOKUP(P20,$A$5:$M$36,13,FALSE),"")="KIRMIZI"),"YÜKSEK - Bağımlı proje kırmızı",IF(Q20&gt;0,Q20&amp;" proje bağımlı","-")))</f>
        <v>-</v>
      </c>
    </row>
    <row r="21" spans="1:18" ht="20.25" customHeight="1">
      <c r="A21" s="11" t="str">
        <f>INDEX(ProjeAnaVerisi[Proje No],17)</f>
        <v>P-017</v>
      </c>
      <c r="B21" s="12" t="str">
        <f>INDEX(ProjeAnaVerisi[Proje],17)</f>
        <v>Bakım Planlama</v>
      </c>
      <c r="C21" s="12" t="str">
        <f>INDEX(ProjeAnaVerisi[Sorumlu],17)</f>
        <v>Ece Şahin</v>
      </c>
      <c r="D21" s="13" t="str">
        <f>INDEX(ProjeAnaVerisi[Sponsor],17)</f>
        <v>CFO</v>
      </c>
      <c r="E21" s="14">
        <f>INDEX(ProjeAnaVerisi[Onaylı Bütçe],17)</f>
        <v>12500000</v>
      </c>
      <c r="F21" s="14" cm="1">
        <f t="array" ref="F21">SUMIFS(ProjeAylikDurum[Harcanan],ProjeAylikDurum[Proje No],A21,ProjeAylikDurum[Dönem],MAX(IF(ProjeAylikDurum[Proje No]=A21,ProjeAylikDurum[Dönem])))</f>
        <v>11885371</v>
      </c>
      <c r="G21" s="15" cm="1">
        <f t="array" ref="G21">SUMIFS(ProjeAylikDurum[Gerçek Tamamlanma],ProjeAylikDurum[Proje No],A21,ProjeAylikDurum[Dönem],MAX(IF(ProjeAylikDurum[Proje No]=A21,ProjeAylikDurum[Dönem])))</f>
        <v>0.97670683086023913</v>
      </c>
      <c r="H21" s="14">
        <f>IF(G21=0,"İnceleme",F21/G21)</f>
        <v>12168821.415461898</v>
      </c>
      <c r="I21" s="15">
        <f>IF(ISNUMBER(H21),H21/E21,"N/A")</f>
        <v>0.97350571323695179</v>
      </c>
      <c r="J21" s="15" cm="1">
        <f t="array" ref="J21">SUMIFS(ProjeAylikDurum[Planlanan Tamamlanma],ProjeAylikDurum[Proje No],A21,ProjeAylikDurum[Dönem],MAX(IF(ProjeAylikDurum[Proje No]=A21,ProjeAylikDurum[Dönem])))-G21</f>
        <v>2.3293169139760872E-2</v>
      </c>
      <c r="K21" s="16" cm="1">
        <f t="array" ref="K21">SUMIFS(ProjeAylikDurum[Gecikme (Gün)],ProjeAylikDurum[Proje No],A21,ProjeAylikDurum[Dönem],MAX(IF(ProjeAylikDurum[Proje No]=A21,ProjeAylikDurum[Dönem])))</f>
        <v>2</v>
      </c>
      <c r="L21" s="15" cm="1">
        <f t="array" ref="L21">SUMIFS(ProjeAylikDurum[Ekip Yükü],ProjeAylikDurum[Proje No],A21,ProjeAylikDurum[Dönem],MAX(IF(ProjeAylikDurum[Proje No]=A21,ProjeAylikDurum[Dönem])))</f>
        <v>0.79424244460192539</v>
      </c>
      <c r="M21" s="13" t="str">
        <f>IF(OR(AND(ISNUMBER(I21),I21&gt;1.1),K21&gt;15,L21&gt;1.1),"KIRMIZI",IF(OR(AND(ISNUMBER(I21),I21&gt;1.05),K21&gt;10,L21&gt;1.05),"SARI","YEŞİL"))</f>
        <v>YEŞİL</v>
      </c>
      <c r="N21" s="13" t="str">
        <f>IF(M21="KIRMIZI",IF(AND(ISNUMBER(I21),I21&gt;1.1,L21&gt;1.1),"Bütçe Artırma + Ekip Takviyesi",IF(AND(ISNUMBER(I21),I21&gt;1.3),"Kapsam Daraltma",IF(K21&gt;15,"Bağımlılık Çözme",IF(L21&gt;1.1,"Ekip Yükü Azaltma","Bütçe Artırma")))),IF(M21="SARI","Yakın İzleme","-"))</f>
        <v>-</v>
      </c>
      <c r="O21" s="13" t="str">
        <f>IF(M21="KIRMIZI",D21,IF(M21="SARI","PMO","-"))</f>
        <v>-</v>
      </c>
      <c r="P21" s="13" t="str">
        <f>IFERROR(INDEX(ProjeAnaVerisi[Bağımlı Olduğu Proje],17),"-")</f>
        <v>P-001</v>
      </c>
      <c r="Q21" s="13">
        <f>COUNTIF(ProjeAnaVerisi[Bağımlı Olduğu Proje],A21)</f>
        <v>0</v>
      </c>
      <c r="R21" s="17" t="str">
        <f>IF(AND(M21="KIRMIZI",Q21&gt;0),"KRİTİK - "&amp;Q21&amp;" proje etkilenir",IF(AND(P21&lt;&gt;"-",P21&lt;&gt;"",IFERROR(VLOOKUP(P21,$A$5:$M$36,13,FALSE),"")="KIRMIZI"),"YÜKSEK - Bağımlı proje kırmızı",IF(Q21&gt;0,Q21&amp;" proje bağımlı","-")))</f>
        <v>YÜKSEK - Bağımlı proje kırmızı</v>
      </c>
    </row>
    <row r="22" spans="1:18" ht="20.25" customHeight="1">
      <c r="A22" s="18" t="str">
        <f>INDEX(ProjeAnaVerisi[Proje No],18)</f>
        <v>P-018</v>
      </c>
      <c r="B22" s="19" t="str">
        <f>INDEX(ProjeAnaVerisi[Proje],18)</f>
        <v>Kanal Teşvik Programı</v>
      </c>
      <c r="C22" s="19" t="str">
        <f>INDEX(ProjeAnaVerisi[Sorumlu],18)</f>
        <v>Mert Arslan</v>
      </c>
      <c r="D22" s="20" t="str">
        <f>INDEX(ProjeAnaVerisi[Sponsor],18)</f>
        <v>COO</v>
      </c>
      <c r="E22" s="21">
        <f>INDEX(ProjeAnaVerisi[Onaylı Bütçe],18)</f>
        <v>9500000</v>
      </c>
      <c r="F22" s="21" cm="1">
        <f t="array" ref="F22">SUMIFS(ProjeAylikDurum[Harcanan],ProjeAylikDurum[Proje No],A22,ProjeAylikDurum[Dönem],MAX(IF(ProjeAylikDurum[Proje No]=A22,ProjeAylikDurum[Dönem])))</f>
        <v>10083823</v>
      </c>
      <c r="G22" s="22" cm="1">
        <f t="array" ref="G22">SUMIFS(ProjeAylikDurum[Gerçek Tamamlanma],ProjeAylikDurum[Proje No],A22,ProjeAylikDurum[Dönem],MAX(IF(ProjeAylikDurum[Proje No]=A22,ProjeAylikDurum[Dönem])))</f>
        <v>1</v>
      </c>
      <c r="H22" s="21">
        <f>IF(G22=0,"İnceleme",F22/G22)</f>
        <v>10083823</v>
      </c>
      <c r="I22" s="22">
        <f>IF(ISNUMBER(H22),H22/E22,"N/A")</f>
        <v>1.0614550526315789</v>
      </c>
      <c r="J22" s="22" cm="1">
        <f t="array" ref="J22">SUMIFS(ProjeAylikDurum[Planlanan Tamamlanma],ProjeAylikDurum[Proje No],A22,ProjeAylikDurum[Dönem],MAX(IF(ProjeAylikDurum[Proje No]=A22,ProjeAylikDurum[Dönem])))-G22</f>
        <v>0</v>
      </c>
      <c r="K22" s="23" cm="1">
        <f t="array" ref="K22">SUMIFS(ProjeAylikDurum[Gecikme (Gün)],ProjeAylikDurum[Proje No],A22,ProjeAylikDurum[Dönem],MAX(IF(ProjeAylikDurum[Proje No]=A22,ProjeAylikDurum[Dönem])))</f>
        <v>0</v>
      </c>
      <c r="L22" s="22" cm="1">
        <f t="array" ref="L22">SUMIFS(ProjeAylikDurum[Ekip Yükü],ProjeAylikDurum[Proje No],A22,ProjeAylikDurum[Dönem],MAX(IF(ProjeAylikDurum[Proje No]=A22,ProjeAylikDurum[Dönem])))</f>
        <v>0.77087413224784396</v>
      </c>
      <c r="M22" s="20" t="str">
        <f>IF(OR(AND(ISNUMBER(I22),I22&gt;1.1),K22&gt;15,L22&gt;1.1),"KIRMIZI",IF(OR(AND(ISNUMBER(I22),I22&gt;1.05),K22&gt;10,L22&gt;1.05),"SARI","YEŞİL"))</f>
        <v>SARI</v>
      </c>
      <c r="N22" s="20" t="str">
        <f>IF(M22="KIRMIZI",IF(AND(ISNUMBER(I22),I22&gt;1.1,L22&gt;1.1),"Bütçe Artırma + Ekip Takviyesi",IF(AND(ISNUMBER(I22),I22&gt;1.3),"Kapsam Daraltma",IF(K22&gt;15,"Bağımlılık Çözme",IF(L22&gt;1.1,"Ekip Yükü Azaltma","Bütçe Artırma")))),IF(M22="SARI","Yakın İzleme","-"))</f>
        <v>Yakın İzleme</v>
      </c>
      <c r="O22" s="20" t="str">
        <f>IF(M22="KIRMIZI",D22,IF(M22="SARI","PMO","-"))</f>
        <v>PMO</v>
      </c>
      <c r="P22" s="20" t="str">
        <f>IFERROR(INDEX(ProjeAnaVerisi[Bağımlı Olduğu Proje],18),"-")</f>
        <v>P-002</v>
      </c>
      <c r="Q22" s="20">
        <f>COUNTIF(ProjeAnaVerisi[Bağımlı Olduğu Proje],A22)</f>
        <v>0</v>
      </c>
      <c r="R22" s="24" t="str">
        <f>IF(AND(M22="KIRMIZI",Q22&gt;0),"KRİTİK - "&amp;Q22&amp;" proje etkilenir",IF(AND(P22&lt;&gt;"-",P22&lt;&gt;"",IFERROR(VLOOKUP(P22,$A$5:$M$36,13,FALSE),"")="KIRMIZI"),"YÜKSEK - Bağımlı proje kırmızı",IF(Q22&gt;0,Q22&amp;" proje bağımlı","-")))</f>
        <v>YÜKSEK - Bağımlı proje kırmızı</v>
      </c>
    </row>
    <row r="23" spans="1:18" ht="20.25" customHeight="1">
      <c r="A23" s="11" t="str">
        <f>INDEX(ProjeAnaVerisi[Proje No],19)</f>
        <v>P-019</v>
      </c>
      <c r="B23" s="12" t="str">
        <f>INDEX(ProjeAnaVerisi[Proje],19)</f>
        <v>Satış Tahmin Modeli</v>
      </c>
      <c r="C23" s="12" t="str">
        <f>INDEX(ProjeAnaVerisi[Sorumlu],19)</f>
        <v>Aylin Demir</v>
      </c>
      <c r="D23" s="13" t="str">
        <f>INDEX(ProjeAnaVerisi[Sponsor],19)</f>
        <v>CCO</v>
      </c>
      <c r="E23" s="14">
        <f>INDEX(ProjeAnaVerisi[Onaylı Bütçe],19)</f>
        <v>29500000</v>
      </c>
      <c r="F23" s="14" cm="1">
        <f t="array" ref="F23">SUMIFS(ProjeAylikDurum[Harcanan],ProjeAylikDurum[Proje No],A23,ProjeAylikDurum[Dönem],MAX(IF(ProjeAylikDurum[Proje No]=A23,ProjeAylikDurum[Dönem])))</f>
        <v>26973257</v>
      </c>
      <c r="G23" s="15" cm="1">
        <f t="array" ref="G23">SUMIFS(ProjeAylikDurum[Gerçek Tamamlanma],ProjeAylikDurum[Proje No],A23,ProjeAylikDurum[Dönem],MAX(IF(ProjeAylikDurum[Proje No]=A23,ProjeAylikDurum[Dönem])))</f>
        <v>0.91970954708672237</v>
      </c>
      <c r="H23" s="14">
        <f>IF(G23=0,"İnceleme",F23/G23)</f>
        <v>29328016.74772286</v>
      </c>
      <c r="I23" s="15">
        <f>IF(ISNUMBER(H23),H23/E23,"N/A")</f>
        <v>0.9941700592448427</v>
      </c>
      <c r="J23" s="15" cm="1">
        <f t="array" ref="J23">SUMIFS(ProjeAylikDurum[Planlanan Tamamlanma],ProjeAylikDurum[Proje No],A23,ProjeAylikDurum[Dönem],MAX(IF(ProjeAylikDurum[Proje No]=A23,ProjeAylikDurum[Dönem])))-G23</f>
        <v>1.8433088875704495E-3</v>
      </c>
      <c r="K23" s="16" cm="1">
        <f t="array" ref="K23">SUMIFS(ProjeAylikDurum[Gecikme (Gün)],ProjeAylikDurum[Proje No],A23,ProjeAylikDurum[Dönem],MAX(IF(ProjeAylikDurum[Proje No]=A23,ProjeAylikDurum[Dönem])))</f>
        <v>0</v>
      </c>
      <c r="L23" s="15" cm="1">
        <f t="array" ref="L23">SUMIFS(ProjeAylikDurum[Ekip Yükü],ProjeAylikDurum[Proje No],A23,ProjeAylikDurum[Dönem],MAX(IF(ProjeAylikDurum[Proje No]=A23,ProjeAylikDurum[Dönem])))</f>
        <v>0.89451614046911077</v>
      </c>
      <c r="M23" s="13" t="str">
        <f>IF(OR(AND(ISNUMBER(I23),I23&gt;1.1),K23&gt;15,L23&gt;1.1),"KIRMIZI",IF(OR(AND(ISNUMBER(I23),I23&gt;1.05),K23&gt;10,L23&gt;1.05),"SARI","YEŞİL"))</f>
        <v>YEŞİL</v>
      </c>
      <c r="N23" s="13" t="str">
        <f>IF(M23="KIRMIZI",IF(AND(ISNUMBER(I23),I23&gt;1.1,L23&gt;1.1),"Bütçe Artırma + Ekip Takviyesi",IF(AND(ISNUMBER(I23),I23&gt;1.3),"Kapsam Daraltma",IF(K23&gt;15,"Bağımlılık Çözme",IF(L23&gt;1.1,"Ekip Yükü Azaltma","Bütçe Artırma")))),IF(M23="SARI","Yakın İzleme","-"))</f>
        <v>-</v>
      </c>
      <c r="O23" s="13" t="str">
        <f>IF(M23="KIRMIZI",D23,IF(M23="SARI","PMO","-"))</f>
        <v>-</v>
      </c>
      <c r="P23" s="13" t="str">
        <f>IFERROR(INDEX(ProjeAnaVerisi[Bağımlı Olduğu Proje],19),"-")</f>
        <v>P-003</v>
      </c>
      <c r="Q23" s="13">
        <f>COUNTIF(ProjeAnaVerisi[Bağımlı Olduğu Proje],A23)</f>
        <v>0</v>
      </c>
      <c r="R23" s="17" t="str">
        <f>IF(AND(M23="KIRMIZI",Q23&gt;0),"KRİTİK - "&amp;Q23&amp;" proje etkilenir",IF(AND(P23&lt;&gt;"-",P23&lt;&gt;"",IFERROR(VLOOKUP(P23,$A$5:$M$36,13,FALSE),"")="KIRMIZI"),"YÜKSEK - Bağımlı proje kırmızı",IF(Q23&gt;0,Q23&amp;" proje bağımlı","-")))</f>
        <v>YÜKSEK - Bağımlı proje kırmızı</v>
      </c>
    </row>
    <row r="24" spans="1:18" ht="20.25" customHeight="1">
      <c r="A24" s="18" t="str">
        <f>INDEX(ProjeAnaVerisi[Proje No],20)</f>
        <v>P-020</v>
      </c>
      <c r="B24" s="19" t="str">
        <f>INDEX(ProjeAnaVerisi[Proje],20)</f>
        <v>Siber Güvenlik Sertleştirme</v>
      </c>
      <c r="C24" s="19" t="str">
        <f>INDEX(ProjeAnaVerisi[Sorumlu],20)</f>
        <v>Burak Yalçın</v>
      </c>
      <c r="D24" s="20" t="str">
        <f>INDEX(ProjeAnaVerisi[Sponsor],20)</f>
        <v>CIO</v>
      </c>
      <c r="E24" s="21">
        <f>INDEX(ProjeAnaVerisi[Onaylı Bütçe],20)</f>
        <v>7000000</v>
      </c>
      <c r="F24" s="21" cm="1">
        <f t="array" ref="F24">SUMIFS(ProjeAylikDurum[Harcanan],ProjeAylikDurum[Proje No],A24,ProjeAylikDurum[Dönem],MAX(IF(ProjeAylikDurum[Proje No]=A24,ProjeAylikDurum[Dönem])))</f>
        <v>7011946</v>
      </c>
      <c r="G24" s="22" cm="1">
        <f t="array" ref="G24">SUMIFS(ProjeAylikDurum[Gerçek Tamamlanma],ProjeAylikDurum[Proje No],A24,ProjeAylikDurum[Dönem],MAX(IF(ProjeAylikDurum[Proje No]=A24,ProjeAylikDurum[Dönem])))</f>
        <v>0.92207145587681083</v>
      </c>
      <c r="H24" s="21">
        <f>IF(G24=0,"İnceleme",F24/G24)</f>
        <v>7604558.1449349187</v>
      </c>
      <c r="I24" s="22">
        <f>IF(ISNUMBER(H24),H24/E24,"N/A")</f>
        <v>1.086365449276417</v>
      </c>
      <c r="J24" s="22" cm="1">
        <f t="array" ref="J24">SUMIFS(ProjeAylikDurum[Planlanan Tamamlanma],ProjeAylikDurum[Proje No],A24,ProjeAylikDurum[Dönem],MAX(IF(ProjeAylikDurum[Proje No]=A24,ProjeAylikDurum[Dönem])))-G24</f>
        <v>6.7876801036614864E-3</v>
      </c>
      <c r="K24" s="23" cm="1">
        <f t="array" ref="K24">SUMIFS(ProjeAylikDurum[Gecikme (Gün)],ProjeAylikDurum[Proje No],A24,ProjeAylikDurum[Dönem],MAX(IF(ProjeAylikDurum[Proje No]=A24,ProjeAylikDurum[Dönem])))</f>
        <v>1</v>
      </c>
      <c r="L24" s="22" cm="1">
        <f t="array" ref="L24">SUMIFS(ProjeAylikDurum[Ekip Yükü],ProjeAylikDurum[Proje No],A24,ProjeAylikDurum[Dönem],MAX(IF(ProjeAylikDurum[Proje No]=A24,ProjeAylikDurum[Dönem])))</f>
        <v>0.82171338701583219</v>
      </c>
      <c r="M24" s="20" t="str">
        <f>IF(OR(AND(ISNUMBER(I24),I24&gt;1.1),K24&gt;15,L24&gt;1.1),"KIRMIZI",IF(OR(AND(ISNUMBER(I24),I24&gt;1.05),K24&gt;10,L24&gt;1.05),"SARI","YEŞİL"))</f>
        <v>SARI</v>
      </c>
      <c r="N24" s="20" t="str">
        <f>IF(M24="KIRMIZI",IF(AND(ISNUMBER(I24),I24&gt;1.1,L24&gt;1.1),"Bütçe Artırma + Ekip Takviyesi",IF(AND(ISNUMBER(I24),I24&gt;1.3),"Kapsam Daraltma",IF(K24&gt;15,"Bağımlılık Çözme",IF(L24&gt;1.1,"Ekip Yükü Azaltma","Bütçe Artırma")))),IF(M24="SARI","Yakın İzleme","-"))</f>
        <v>Yakın İzleme</v>
      </c>
      <c r="O24" s="20" t="str">
        <f>IF(M24="KIRMIZI",D24,IF(M24="SARI","PMO","-"))</f>
        <v>PMO</v>
      </c>
      <c r="P24" s="20" t="str">
        <f>IFERROR(INDEX(ProjeAnaVerisi[Bağımlı Olduğu Proje],20),"-")</f>
        <v>P-004</v>
      </c>
      <c r="Q24" s="20">
        <f>COUNTIF(ProjeAnaVerisi[Bağımlı Olduğu Proje],A24)</f>
        <v>0</v>
      </c>
      <c r="R24" s="24" t="str">
        <f>IF(AND(M24="KIRMIZI",Q24&gt;0),"KRİTİK - "&amp;Q24&amp;" proje etkilenir",IF(AND(P24&lt;&gt;"-",P24&lt;&gt;"",IFERROR(VLOOKUP(P24,$A$5:$M$36,13,FALSE),"")="KIRMIZI"),"YÜKSEK - Bağımlı proje kırmızı",IF(Q24&gt;0,Q24&amp;" proje bağımlı","-")))</f>
        <v>-</v>
      </c>
    </row>
    <row r="25" spans="1:18" ht="20.25" customHeight="1">
      <c r="A25" s="11" t="str">
        <f>INDEX(ProjeAnaVerisi[Proje No],21)</f>
        <v>P-021</v>
      </c>
      <c r="B25" s="12" t="str">
        <f>INDEX(ProjeAnaVerisi[Proje],21)</f>
        <v>Kalite Laboratuvarı</v>
      </c>
      <c r="C25" s="12" t="str">
        <f>INDEX(ProjeAnaVerisi[Sorumlu],21)</f>
        <v>Ceren Aksoy</v>
      </c>
      <c r="D25" s="13" t="str">
        <f>INDEX(ProjeAnaVerisi[Sponsor],21)</f>
        <v>CFO</v>
      </c>
      <c r="E25" s="14">
        <f>INDEX(ProjeAnaVerisi[Onaylı Bütçe],21)</f>
        <v>25000000</v>
      </c>
      <c r="F25" s="14" cm="1">
        <f t="array" ref="F25">SUMIFS(ProjeAylikDurum[Harcanan],ProjeAylikDurum[Proje No],A25,ProjeAylikDurum[Dönem],MAX(IF(ProjeAylikDurum[Proje No]=A25,ProjeAylikDurum[Dönem])))</f>
        <v>19943112</v>
      </c>
      <c r="G25" s="15" cm="1">
        <f t="array" ref="G25">SUMIFS(ProjeAylikDurum[Gerçek Tamamlanma],ProjeAylikDurum[Proje No],A25,ProjeAylikDurum[Dönem],MAX(IF(ProjeAylikDurum[Proje No]=A25,ProjeAylikDurum[Dönem])))</f>
        <v>0.84243913791150171</v>
      </c>
      <c r="H25" s="14">
        <f>IF(G25=0,"İnceleme",F25/G25)</f>
        <v>23673059.693595368</v>
      </c>
      <c r="I25" s="15">
        <f>IF(ISNUMBER(H25),H25/E25,"N/A")</f>
        <v>0.94692238774381476</v>
      </c>
      <c r="J25" s="15" cm="1">
        <f t="array" ref="J25">SUMIFS(ProjeAylikDurum[Planlanan Tamamlanma],ProjeAylikDurum[Proje No],A25,ProjeAylikDurum[Dönem],MAX(IF(ProjeAylikDurum[Proje No]=A25,ProjeAylikDurum[Dönem])))-G25</f>
        <v>1.2093386317512556E-2</v>
      </c>
      <c r="K25" s="16" cm="1">
        <f t="array" ref="K25">SUMIFS(ProjeAylikDurum[Gecikme (Gün)],ProjeAylikDurum[Proje No],A25,ProjeAylikDurum[Dönem],MAX(IF(ProjeAylikDurum[Proje No]=A25,ProjeAylikDurum[Dönem])))</f>
        <v>1</v>
      </c>
      <c r="L25" s="15" cm="1">
        <f t="array" ref="L25">SUMIFS(ProjeAylikDurum[Ekip Yükü],ProjeAylikDurum[Proje No],A25,ProjeAylikDurum[Dönem],MAX(IF(ProjeAylikDurum[Proje No]=A25,ProjeAylikDurum[Dönem])))</f>
        <v>0.85315772333215101</v>
      </c>
      <c r="M25" s="13" t="str">
        <f>IF(OR(AND(ISNUMBER(I25),I25&gt;1.1),K25&gt;15,L25&gt;1.1),"KIRMIZI",IF(OR(AND(ISNUMBER(I25),I25&gt;1.05),K25&gt;10,L25&gt;1.05),"SARI","YEŞİL"))</f>
        <v>YEŞİL</v>
      </c>
      <c r="N25" s="13" t="str">
        <f>IF(M25="KIRMIZI",IF(AND(ISNUMBER(I25),I25&gt;1.1,L25&gt;1.1),"Bütçe Artırma + Ekip Takviyesi",IF(AND(ISNUMBER(I25),I25&gt;1.3),"Kapsam Daraltma",IF(K25&gt;15,"Bağımlılık Çözme",IF(L25&gt;1.1,"Ekip Yükü Azaltma","Bütçe Artırma")))),IF(M25="SARI","Yakın İzleme","-"))</f>
        <v>-</v>
      </c>
      <c r="O25" s="13" t="str">
        <f>IF(M25="KIRMIZI",D25,IF(M25="SARI","PMO","-"))</f>
        <v>-</v>
      </c>
      <c r="P25" s="13" t="str">
        <f>IFERROR(INDEX(ProjeAnaVerisi[Bağımlı Olduğu Proje],21),"-")</f>
        <v>P-001</v>
      </c>
      <c r="Q25" s="13">
        <f>COUNTIF(ProjeAnaVerisi[Bağımlı Olduğu Proje],A25)</f>
        <v>0</v>
      </c>
      <c r="R25" s="17" t="str">
        <f>IF(AND(M25="KIRMIZI",Q25&gt;0),"KRİTİK - "&amp;Q25&amp;" proje etkilenir",IF(AND(P25&lt;&gt;"-",P25&lt;&gt;"",IFERROR(VLOOKUP(P25,$A$5:$M$36,13,FALSE),"")="KIRMIZI"),"YÜKSEK - Bağımlı proje kırmızı",IF(Q25&gt;0,Q25&amp;" proje bağımlı","-")))</f>
        <v>YÜKSEK - Bağımlı proje kırmızı</v>
      </c>
    </row>
    <row r="26" spans="1:18" ht="20.25" customHeight="1">
      <c r="A26" s="18" t="str">
        <f>INDEX(ProjeAnaVerisi[Proje No],22)</f>
        <v>P-022</v>
      </c>
      <c r="B26" s="19" t="str">
        <f>INDEX(ProjeAnaVerisi[Proje],22)</f>
        <v>İK Beceri Haritası</v>
      </c>
      <c r="C26" s="19" t="str">
        <f>INDEX(ProjeAnaVerisi[Sorumlu],22)</f>
        <v>Deniz Koç</v>
      </c>
      <c r="D26" s="20" t="str">
        <f>INDEX(ProjeAnaVerisi[Sponsor],22)</f>
        <v>COO</v>
      </c>
      <c r="E26" s="21">
        <f>INDEX(ProjeAnaVerisi[Onaylı Bütçe],22)</f>
        <v>28500000</v>
      </c>
      <c r="F26" s="21" cm="1">
        <f t="array" ref="F26">SUMIFS(ProjeAylikDurum[Harcanan],ProjeAylikDurum[Proje No],A26,ProjeAylikDurum[Dönem],MAX(IF(ProjeAylikDurum[Proje No]=A26,ProjeAylikDurum[Dönem])))</f>
        <v>23198311</v>
      </c>
      <c r="G26" s="22" cm="1">
        <f t="array" ref="G26">SUMIFS(ProjeAylikDurum[Gerçek Tamamlanma],ProjeAylikDurum[Proje No],A26,ProjeAylikDurum[Dönem],MAX(IF(ProjeAylikDurum[Proje No]=A26,ProjeAylikDurum[Dönem])))</f>
        <v>0.89442130007731147</v>
      </c>
      <c r="H26" s="21">
        <f>IF(G26=0,"İnceleme",F26/G26)</f>
        <v>25936671.005033977</v>
      </c>
      <c r="I26" s="22">
        <f>IF(ISNUMBER(H26),H26/E26,"N/A")</f>
        <v>0.91005863175557811</v>
      </c>
      <c r="J26" s="22" cm="1">
        <f t="array" ref="J26">SUMIFS(ProjeAylikDurum[Planlanan Tamamlanma],ProjeAylikDurum[Proje No],A26,ProjeAylikDurum[Dönem],MAX(IF(ProjeAylikDurum[Proje No]=A26,ProjeAylikDurum[Dönem])))-G26</f>
        <v>0</v>
      </c>
      <c r="K26" s="23" cm="1">
        <f t="array" ref="K26">SUMIFS(ProjeAylikDurum[Gecikme (Gün)],ProjeAylikDurum[Proje No],A26,ProjeAylikDurum[Dönem],MAX(IF(ProjeAylikDurum[Proje No]=A26,ProjeAylikDurum[Dönem])))</f>
        <v>0</v>
      </c>
      <c r="L26" s="22" cm="1">
        <f t="array" ref="L26">SUMIFS(ProjeAylikDurum[Ekip Yükü],ProjeAylikDurum[Proje No],A26,ProjeAylikDurum[Dönem],MAX(IF(ProjeAylikDurum[Proje No]=A26,ProjeAylikDurum[Dönem])))</f>
        <v>0.88844721227249668</v>
      </c>
      <c r="M26" s="20" t="str">
        <f>IF(OR(AND(ISNUMBER(I26),I26&gt;1.1),K26&gt;15,L26&gt;1.1),"KIRMIZI",IF(OR(AND(ISNUMBER(I26),I26&gt;1.05),K26&gt;10,L26&gt;1.05),"SARI","YEŞİL"))</f>
        <v>YEŞİL</v>
      </c>
      <c r="N26" s="20" t="str">
        <f>IF(M26="KIRMIZI",IF(AND(ISNUMBER(I26),I26&gt;1.1,L26&gt;1.1),"Bütçe Artırma + Ekip Takviyesi",IF(AND(ISNUMBER(I26),I26&gt;1.3),"Kapsam Daraltma",IF(K26&gt;15,"Bağımlılık Çözme",IF(L26&gt;1.1,"Ekip Yükü Azaltma","Bütçe Artırma")))),IF(M26="SARI","Yakın İzleme","-"))</f>
        <v>-</v>
      </c>
      <c r="O26" s="20" t="str">
        <f>IF(M26="KIRMIZI",D26,IF(M26="SARI","PMO","-"))</f>
        <v>-</v>
      </c>
      <c r="P26" s="20" t="str">
        <f>IFERROR(INDEX(ProjeAnaVerisi[Bağımlı Olduğu Proje],22),"-")</f>
        <v>P-002</v>
      </c>
      <c r="Q26" s="20">
        <f>COUNTIF(ProjeAnaVerisi[Bağımlı Olduğu Proje],A26)</f>
        <v>0</v>
      </c>
      <c r="R26" s="24" t="str">
        <f>IF(AND(M26="KIRMIZI",Q26&gt;0),"KRİTİK - "&amp;Q26&amp;" proje etkilenir",IF(AND(P26&lt;&gt;"-",P26&lt;&gt;"",IFERROR(VLOOKUP(P26,$A$5:$M$36,13,FALSE),"")="KIRMIZI"),"YÜKSEK - Bağımlı proje kırmızı",IF(Q26&gt;0,Q26&amp;" proje bağımlı","-")))</f>
        <v>YÜKSEK - Bağımlı proje kırmızı</v>
      </c>
    </row>
    <row r="27" spans="1:18" ht="20.25" customHeight="1">
      <c r="A27" s="11" t="str">
        <f>INDEX(ProjeAnaVerisi[Proje No],23)</f>
        <v>P-023</v>
      </c>
      <c r="B27" s="12" t="str">
        <f>INDEX(ProjeAnaVerisi[Proje],23)</f>
        <v>Finans Kapanış Hızlandırma</v>
      </c>
      <c r="C27" s="12" t="str">
        <f>INDEX(ProjeAnaVerisi[Sorumlu],23)</f>
        <v>Ece Şahin</v>
      </c>
      <c r="D27" s="13" t="str">
        <f>INDEX(ProjeAnaVerisi[Sponsor],23)</f>
        <v>CCO</v>
      </c>
      <c r="E27" s="14">
        <f>INDEX(ProjeAnaVerisi[Onaylı Bütçe],23)</f>
        <v>11500000</v>
      </c>
      <c r="F27" s="14" cm="1">
        <f t="array" ref="F27">SUMIFS(ProjeAylikDurum[Harcanan],ProjeAylikDurum[Proje No],A27,ProjeAylikDurum[Dönem],MAX(IF(ProjeAylikDurum[Proje No]=A27,ProjeAylikDurum[Dönem])))</f>
        <v>12057566</v>
      </c>
      <c r="G27" s="15" cm="1">
        <f t="array" ref="G27">SUMIFS(ProjeAylikDurum[Gerçek Tamamlanma],ProjeAylikDurum[Proje No],A27,ProjeAylikDurum[Dönem],MAX(IF(ProjeAylikDurum[Proje No]=A27,ProjeAylikDurum[Dönem])))</f>
        <v>0.99325974781667314</v>
      </c>
      <c r="H27" s="14">
        <f>IF(G27=0,"İnceleme",F27/G27)</f>
        <v>12139388.540111741</v>
      </c>
      <c r="I27" s="15">
        <f>IF(ISNUMBER(H27),H27/E27,"N/A")</f>
        <v>1.0555990034879774</v>
      </c>
      <c r="J27" s="15" cm="1">
        <f t="array" ref="J27">SUMIFS(ProjeAylikDurum[Planlanan Tamamlanma],ProjeAylikDurum[Proje No],A27,ProjeAylikDurum[Dönem],MAX(IF(ProjeAylikDurum[Proje No]=A27,ProjeAylikDurum[Dönem])))-G27</f>
        <v>6.7402521833268558E-3</v>
      </c>
      <c r="K27" s="16" cm="1">
        <f t="array" ref="K27">SUMIFS(ProjeAylikDurum[Gecikme (Gün)],ProjeAylikDurum[Proje No],A27,ProjeAylikDurum[Dönem],MAX(IF(ProjeAylikDurum[Proje No]=A27,ProjeAylikDurum[Dönem])))</f>
        <v>1</v>
      </c>
      <c r="L27" s="15" cm="1">
        <f t="array" ref="L27">SUMIFS(ProjeAylikDurum[Ekip Yükü],ProjeAylikDurum[Proje No],A27,ProjeAylikDurum[Dönem],MAX(IF(ProjeAylikDurum[Proje No]=A27,ProjeAylikDurum[Dönem])))</f>
        <v>0.96199383991613607</v>
      </c>
      <c r="M27" s="13" t="str">
        <f>IF(OR(AND(ISNUMBER(I27),I27&gt;1.1),K27&gt;15,L27&gt;1.1),"KIRMIZI",IF(OR(AND(ISNUMBER(I27),I27&gt;1.05),K27&gt;10,L27&gt;1.05),"SARI","YEŞİL"))</f>
        <v>SARI</v>
      </c>
      <c r="N27" s="13" t="str">
        <f>IF(M27="KIRMIZI",IF(AND(ISNUMBER(I27),I27&gt;1.1,L27&gt;1.1),"Bütçe Artırma + Ekip Takviyesi",IF(AND(ISNUMBER(I27),I27&gt;1.3),"Kapsam Daraltma",IF(K27&gt;15,"Bağımlılık Çözme",IF(L27&gt;1.1,"Ekip Yükü Azaltma","Bütçe Artırma")))),IF(M27="SARI","Yakın İzleme","-"))</f>
        <v>Yakın İzleme</v>
      </c>
      <c r="O27" s="13" t="str">
        <f>IF(M27="KIRMIZI",D27,IF(M27="SARI","PMO","-"))</f>
        <v>PMO</v>
      </c>
      <c r="P27" s="13" t="str">
        <f>IFERROR(INDEX(ProjeAnaVerisi[Bağımlı Olduğu Proje],23),"-")</f>
        <v>P-003</v>
      </c>
      <c r="Q27" s="13">
        <f>COUNTIF(ProjeAnaVerisi[Bağımlı Olduğu Proje],A27)</f>
        <v>0</v>
      </c>
      <c r="R27" s="17" t="str">
        <f>IF(AND(M27="KIRMIZI",Q27&gt;0),"KRİTİK - "&amp;Q27&amp;" proje etkilenir",IF(AND(P27&lt;&gt;"-",P27&lt;&gt;"",IFERROR(VLOOKUP(P27,$A$5:$M$36,13,FALSE),"")="KIRMIZI"),"YÜKSEK - Bağımlı proje kırmızı",IF(Q27&gt;0,Q27&amp;" proje bağımlı","-")))</f>
        <v>YÜKSEK - Bağımlı proje kırmızı</v>
      </c>
    </row>
    <row r="28" spans="1:18" ht="20.25" customHeight="1">
      <c r="A28" s="18" t="str">
        <f>INDEX(ProjeAnaVerisi[Proje No],24)</f>
        <v>P-024</v>
      </c>
      <c r="B28" s="19" t="str">
        <f>INDEX(ProjeAnaVerisi[Proje],24)</f>
        <v>Müşteri Veri Platformu</v>
      </c>
      <c r="C28" s="19" t="str">
        <f>INDEX(ProjeAnaVerisi[Sorumlu],24)</f>
        <v>Mert Arslan</v>
      </c>
      <c r="D28" s="20" t="str">
        <f>INDEX(ProjeAnaVerisi[Sponsor],24)</f>
        <v>CIO</v>
      </c>
      <c r="E28" s="21">
        <f>INDEX(ProjeAnaVerisi[Onaylı Bütçe],24)</f>
        <v>5500000</v>
      </c>
      <c r="F28" s="21" cm="1">
        <f t="array" ref="F28">SUMIFS(ProjeAylikDurum[Harcanan],ProjeAylikDurum[Proje No],A28,ProjeAylikDurum[Dönem],MAX(IF(ProjeAylikDurum[Proje No]=A28,ProjeAylikDurum[Dönem])))</f>
        <v>5986413</v>
      </c>
      <c r="G28" s="22" cm="1">
        <f t="array" ref="G28">SUMIFS(ProjeAylikDurum[Gerçek Tamamlanma],ProjeAylikDurum[Proje No],A28,ProjeAylikDurum[Dönem],MAX(IF(ProjeAylikDurum[Proje No]=A28,ProjeAylikDurum[Dönem])))</f>
        <v>0.9980371694668162</v>
      </c>
      <c r="H28" s="21">
        <f>IF(G28=0,"İnceleme",F28/G28)</f>
        <v>5998186.4234556872</v>
      </c>
      <c r="I28" s="22">
        <f>IF(ISNUMBER(H28),H28/E28,"N/A")</f>
        <v>1.0905793497192158</v>
      </c>
      <c r="J28" s="22" cm="1">
        <f t="array" ref="J28">SUMIFS(ProjeAylikDurum[Planlanan Tamamlanma],ProjeAylikDurum[Proje No],A28,ProjeAylikDurum[Dönem],MAX(IF(ProjeAylikDurum[Proje No]=A28,ProjeAylikDurum[Dönem])))-G28</f>
        <v>1.9628305331838014E-3</v>
      </c>
      <c r="K28" s="23" cm="1">
        <f t="array" ref="K28">SUMIFS(ProjeAylikDurum[Gecikme (Gün)],ProjeAylikDurum[Proje No],A28,ProjeAylikDurum[Dönem],MAX(IF(ProjeAylikDurum[Proje No]=A28,ProjeAylikDurum[Dönem])))</f>
        <v>0</v>
      </c>
      <c r="L28" s="22" cm="1">
        <f t="array" ref="L28">SUMIFS(ProjeAylikDurum[Ekip Yükü],ProjeAylikDurum[Proje No],A28,ProjeAylikDurum[Dönem],MAX(IF(ProjeAylikDurum[Proje No]=A28,ProjeAylikDurum[Dönem])))</f>
        <v>0.88169290118770782</v>
      </c>
      <c r="M28" s="20" t="str">
        <f>IF(OR(AND(ISNUMBER(I28),I28&gt;1.1),K28&gt;15,L28&gt;1.1),"KIRMIZI",IF(OR(AND(ISNUMBER(I28),I28&gt;1.05),K28&gt;10,L28&gt;1.05),"SARI","YEŞİL"))</f>
        <v>SARI</v>
      </c>
      <c r="N28" s="20" t="str">
        <f>IF(M28="KIRMIZI",IF(AND(ISNUMBER(I28),I28&gt;1.1,L28&gt;1.1),"Bütçe Artırma + Ekip Takviyesi",IF(AND(ISNUMBER(I28),I28&gt;1.3),"Kapsam Daraltma",IF(K28&gt;15,"Bağımlılık Çözme",IF(L28&gt;1.1,"Ekip Yükü Azaltma","Bütçe Artırma")))),IF(M28="SARI","Yakın İzleme","-"))</f>
        <v>Yakın İzleme</v>
      </c>
      <c r="O28" s="20" t="str">
        <f>IF(M28="KIRMIZI",D28,IF(M28="SARI","PMO","-"))</f>
        <v>PMO</v>
      </c>
      <c r="P28" s="20" t="str">
        <f>IFERROR(INDEX(ProjeAnaVerisi[Bağımlı Olduğu Proje],24),"-")</f>
        <v>P-004</v>
      </c>
      <c r="Q28" s="20">
        <f>COUNTIF(ProjeAnaVerisi[Bağımlı Olduğu Proje],A28)</f>
        <v>0</v>
      </c>
      <c r="R28" s="24" t="str">
        <f>IF(AND(M28="KIRMIZI",Q28&gt;0),"KRİTİK - "&amp;Q28&amp;" proje etkilenir",IF(AND(P28&lt;&gt;"-",P28&lt;&gt;"",IFERROR(VLOOKUP(P28,$A$5:$M$36,13,FALSE),"")="KIRMIZI"),"YÜKSEK - Bağımlı proje kırmızı",IF(Q28&gt;0,Q28&amp;" proje bağımlı","-")))</f>
        <v>-</v>
      </c>
    </row>
    <row r="29" spans="1:18" ht="20.25" customHeight="1">
      <c r="A29" s="11" t="str">
        <f>INDEX(ProjeAnaVerisi[Proje No],25)</f>
        <v>P-025</v>
      </c>
      <c r="B29" s="12" t="str">
        <f>INDEX(ProjeAnaVerisi[Proje],25)</f>
        <v>Sigma Seri Yeniden Tasarım</v>
      </c>
      <c r="C29" s="12" t="str">
        <f>INDEX(ProjeAnaVerisi[Sorumlu],25)</f>
        <v>Aylin Demir</v>
      </c>
      <c r="D29" s="13" t="str">
        <f>INDEX(ProjeAnaVerisi[Sponsor],25)</f>
        <v>CFO</v>
      </c>
      <c r="E29" s="14">
        <f>INDEX(ProjeAnaVerisi[Onaylı Bütçe],25)</f>
        <v>15500000</v>
      </c>
      <c r="F29" s="14" cm="1">
        <f t="array" ref="F29">SUMIFS(ProjeAylikDurum[Harcanan],ProjeAylikDurum[Proje No],A29,ProjeAylikDurum[Dönem],MAX(IF(ProjeAylikDurum[Proje No]=A29,ProjeAylikDurum[Dönem])))</f>
        <v>17520190</v>
      </c>
      <c r="G29" s="15" cm="1">
        <f t="array" ref="G29">SUMIFS(ProjeAylikDurum[Gerçek Tamamlanma],ProjeAylikDurum[Proje No],A29,ProjeAylikDurum[Dönem],MAX(IF(ProjeAylikDurum[Proje No]=A29,ProjeAylikDurum[Dönem])))</f>
        <v>0.85352435116096448</v>
      </c>
      <c r="H29" s="14">
        <f>IF(G29=0,"İnceleme",F29/G29)</f>
        <v>20526877.734851997</v>
      </c>
      <c r="I29" s="15">
        <f>IF(ISNUMBER(H29),H29/E29,"N/A")</f>
        <v>1.3243146925710967</v>
      </c>
      <c r="J29" s="15" cm="1">
        <f t="array" ref="J29">SUMIFS(ProjeAylikDurum[Planlanan Tamamlanma],ProjeAylikDurum[Proje No],A29,ProjeAylikDurum[Dönem],MAX(IF(ProjeAylikDurum[Proje No]=A29,ProjeAylikDurum[Dönem])))-G29</f>
        <v>0.14647564883903552</v>
      </c>
      <c r="K29" s="16" cm="1">
        <f t="array" ref="K29">SUMIFS(ProjeAylikDurum[Gecikme (Gün)],ProjeAylikDurum[Proje No],A29,ProjeAylikDurum[Dönem],MAX(IF(ProjeAylikDurum[Proje No]=A29,ProjeAylikDurum[Dönem])))</f>
        <v>13</v>
      </c>
      <c r="L29" s="15" cm="1">
        <f t="array" ref="L29">SUMIFS(ProjeAylikDurum[Ekip Yükü],ProjeAylikDurum[Proje No],A29,ProjeAylikDurum[Dönem],MAX(IF(ProjeAylikDurum[Proje No]=A29,ProjeAylikDurum[Dönem])))</f>
        <v>1.105909384529463</v>
      </c>
      <c r="M29" s="13" t="str">
        <f>IF(OR(AND(ISNUMBER(I29),I29&gt;1.1),K29&gt;15,L29&gt;1.1),"KIRMIZI",IF(OR(AND(ISNUMBER(I29),I29&gt;1.05),K29&gt;10,L29&gt;1.05),"SARI","YEŞİL"))</f>
        <v>KIRMIZI</v>
      </c>
      <c r="N29" s="13" t="str">
        <f>IF(M29="KIRMIZI",IF(AND(ISNUMBER(I29),I29&gt;1.1,L29&gt;1.1),"Bütçe Artırma + Ekip Takviyesi",IF(AND(ISNUMBER(I29),I29&gt;1.3),"Kapsam Daraltma",IF(K29&gt;15,"Bağımlılık Çözme",IF(L29&gt;1.1,"Ekip Yükü Azaltma","Bütçe Artırma")))),IF(M29="SARI","Yakın İzleme","-"))</f>
        <v>Bütçe Artırma + Ekip Takviyesi</v>
      </c>
      <c r="O29" s="13" t="str">
        <f>IF(M29="KIRMIZI",D29,IF(M29="SARI","PMO","-"))</f>
        <v>CFO</v>
      </c>
      <c r="P29" s="13" t="str">
        <f>IFERROR(INDEX(ProjeAnaVerisi[Bağımlı Olduğu Proje],25),"-")</f>
        <v>P-001</v>
      </c>
      <c r="Q29" s="13">
        <f>COUNTIF(ProjeAnaVerisi[Bağımlı Olduğu Proje],A29)</f>
        <v>0</v>
      </c>
      <c r="R29" s="17" t="str">
        <f>IF(AND(M29="KIRMIZI",Q29&gt;0),"KRİTİK - "&amp;Q29&amp;" proje etkilenir",IF(AND(P29&lt;&gt;"-",P29&lt;&gt;"",IFERROR(VLOOKUP(P29,$A$5:$M$36,13,FALSE),"")="KIRMIZI"),"YÜKSEK - Bağımlı proje kırmızı",IF(Q29&gt;0,Q29&amp;" proje bağımlı","-")))</f>
        <v>YÜKSEK - Bağımlı proje kırmızı</v>
      </c>
    </row>
    <row r="30" spans="1:18" ht="20.25" customHeight="1">
      <c r="A30" s="18" t="str">
        <f>INDEX(ProjeAnaVerisi[Proje No],26)</f>
        <v>P-026</v>
      </c>
      <c r="B30" s="19" t="str">
        <f>INDEX(ProjeAnaVerisi[Proje],26)</f>
        <v>Ankara Dağıtım Merkezi</v>
      </c>
      <c r="C30" s="19" t="str">
        <f>INDEX(ProjeAnaVerisi[Sorumlu],26)</f>
        <v>Burak Yalçın</v>
      </c>
      <c r="D30" s="20" t="str">
        <f>INDEX(ProjeAnaVerisi[Sponsor],26)</f>
        <v>COO</v>
      </c>
      <c r="E30" s="21">
        <f>INDEX(ProjeAnaVerisi[Onaylı Bütçe],26)</f>
        <v>10000000</v>
      </c>
      <c r="F30" s="21" cm="1">
        <f t="array" ref="F30">SUMIFS(ProjeAylikDurum[Harcanan],ProjeAylikDurum[Proje No],A30,ProjeAylikDurum[Dönem],MAX(IF(ProjeAylikDurum[Proje No]=A30,ProjeAylikDurum[Dönem])))</f>
        <v>11088074</v>
      </c>
      <c r="G30" s="22" cm="1">
        <f t="array" ref="G30">SUMIFS(ProjeAylikDurum[Gerçek Tamamlanma],ProjeAylikDurum[Proje No],A30,ProjeAylikDurum[Dönem],MAX(IF(ProjeAylikDurum[Proje No]=A30,ProjeAylikDurum[Dönem])))</f>
        <v>0.97790742003341069</v>
      </c>
      <c r="H30" s="21">
        <f>IF(G30=0,"İnceleme",F30/G30)</f>
        <v>11338572.315589108</v>
      </c>
      <c r="I30" s="22">
        <f>IF(ISNUMBER(H30),H30/E30,"N/A")</f>
        <v>1.1338572315589108</v>
      </c>
      <c r="J30" s="22" cm="1">
        <f t="array" ref="J30">SUMIFS(ProjeAylikDurum[Planlanan Tamamlanma],ProjeAylikDurum[Proje No],A30,ProjeAylikDurum[Dönem],MAX(IF(ProjeAylikDurum[Proje No]=A30,ProjeAylikDurum[Dönem])))-G30</f>
        <v>2.209257996658931E-2</v>
      </c>
      <c r="K30" s="23" cm="1">
        <f t="array" ref="K30">SUMIFS(ProjeAylikDurum[Gecikme (Gün)],ProjeAylikDurum[Proje No],A30,ProjeAylikDurum[Dönem],MAX(IF(ProjeAylikDurum[Proje No]=A30,ProjeAylikDurum[Dönem])))</f>
        <v>2</v>
      </c>
      <c r="L30" s="22" cm="1">
        <f t="array" ref="L30">SUMIFS(ProjeAylikDurum[Ekip Yükü],ProjeAylikDurum[Proje No],A30,ProjeAylikDurum[Dönem],MAX(IF(ProjeAylikDurum[Proje No]=A30,ProjeAylikDurum[Dönem])))</f>
        <v>0.72047743703080902</v>
      </c>
      <c r="M30" s="20" t="str">
        <f>IF(OR(AND(ISNUMBER(I30),I30&gt;1.1),K30&gt;15,L30&gt;1.1),"KIRMIZI",IF(OR(AND(ISNUMBER(I30),I30&gt;1.05),K30&gt;10,L30&gt;1.05),"SARI","YEŞİL"))</f>
        <v>KIRMIZI</v>
      </c>
      <c r="N30" s="20" t="str">
        <f>IF(M30="KIRMIZI",IF(AND(ISNUMBER(I30),I30&gt;1.1,L30&gt;1.1),"Bütçe Artırma + Ekip Takviyesi",IF(AND(ISNUMBER(I30),I30&gt;1.3),"Kapsam Daraltma",IF(K30&gt;15,"Bağımlılık Çözme",IF(L30&gt;1.1,"Ekip Yükü Azaltma","Bütçe Artırma")))),IF(M30="SARI","Yakın İzleme","-"))</f>
        <v>Bütçe Artırma</v>
      </c>
      <c r="O30" s="20" t="str">
        <f>IF(M30="KIRMIZI",D30,IF(M30="SARI","PMO","-"))</f>
        <v>COO</v>
      </c>
      <c r="P30" s="20" t="str">
        <f>IFERROR(INDEX(ProjeAnaVerisi[Bağımlı Olduğu Proje],26),"-")</f>
        <v>P-002</v>
      </c>
      <c r="Q30" s="20">
        <f>COUNTIF(ProjeAnaVerisi[Bağımlı Olduğu Proje],A30)</f>
        <v>0</v>
      </c>
      <c r="R30" s="24" t="str">
        <f>IF(AND(M30="KIRMIZI",Q30&gt;0),"KRİTİK - "&amp;Q30&amp;" proje etkilenir",IF(AND(P30&lt;&gt;"-",P30&lt;&gt;"",IFERROR(VLOOKUP(P30,$A$5:$M$36,13,FALSE),"")="KIRMIZI"),"YÜKSEK - Bağımlı proje kırmızı",IF(Q30&gt;0,Q30&amp;" proje bağımlı","-")))</f>
        <v>YÜKSEK - Bağımlı proje kırmızı</v>
      </c>
    </row>
    <row r="31" spans="1:18" ht="20.25" customHeight="1">
      <c r="A31" s="11" t="str">
        <f>INDEX(ProjeAnaVerisi[Proje No],27)</f>
        <v>P-027</v>
      </c>
      <c r="B31" s="12" t="str">
        <f>INDEX(ProjeAnaVerisi[Proje],27)</f>
        <v>Servis Yedek Parça Planı</v>
      </c>
      <c r="C31" s="12" t="str">
        <f>INDEX(ProjeAnaVerisi[Sorumlu],27)</f>
        <v>Ceren Aksoy</v>
      </c>
      <c r="D31" s="13" t="str">
        <f>INDEX(ProjeAnaVerisi[Sponsor],27)</f>
        <v>CCO</v>
      </c>
      <c r="E31" s="14">
        <f>INDEX(ProjeAnaVerisi[Onaylı Bütçe],27)</f>
        <v>24500000</v>
      </c>
      <c r="F31" s="14" cm="1">
        <f t="array" ref="F31">SUMIFS(ProjeAylikDurum[Harcanan],ProjeAylikDurum[Proje No],A31,ProjeAylikDurum[Dönem],MAX(IF(ProjeAylikDurum[Proje No]=A31,ProjeAylikDurum[Dönem])))</f>
        <v>22755315</v>
      </c>
      <c r="G31" s="15" cm="1">
        <f t="array" ref="G31">SUMIFS(ProjeAylikDurum[Gerçek Tamamlanma],ProjeAylikDurum[Proje No],A31,ProjeAylikDurum[Dönem],MAX(IF(ProjeAylikDurum[Proje No]=A31,ProjeAylikDurum[Dönem])))</f>
        <v>0.92853270786301645</v>
      </c>
      <c r="H31" s="14">
        <f>IF(G31=0,"İnceleme",F31/G31)</f>
        <v>24506745.758445617</v>
      </c>
      <c r="I31" s="15">
        <f>IF(ISNUMBER(H31),H31/E31,"N/A")</f>
        <v>1.0002753370794129</v>
      </c>
      <c r="J31" s="15" cm="1">
        <f t="array" ref="J31">SUMIFS(ProjeAylikDurum[Planlanan Tamamlanma],ProjeAylikDurum[Proje No],A31,ProjeAylikDurum[Dönem],MAX(IF(ProjeAylikDurum[Proje No]=A31,ProjeAylikDurum[Dönem])))-G31</f>
        <v>0</v>
      </c>
      <c r="K31" s="16" cm="1">
        <f t="array" ref="K31">SUMIFS(ProjeAylikDurum[Gecikme (Gün)],ProjeAylikDurum[Proje No],A31,ProjeAylikDurum[Dönem],MAX(IF(ProjeAylikDurum[Proje No]=A31,ProjeAylikDurum[Dönem])))</f>
        <v>0</v>
      </c>
      <c r="L31" s="15" cm="1">
        <f t="array" ref="L31">SUMIFS(ProjeAylikDurum[Ekip Yükü],ProjeAylikDurum[Proje No],A31,ProjeAylikDurum[Dönem],MAX(IF(ProjeAylikDurum[Proje No]=A31,ProjeAylikDurum[Dönem])))</f>
        <v>0.8414900441325035</v>
      </c>
      <c r="M31" s="13" t="str">
        <f>IF(OR(AND(ISNUMBER(I31),I31&gt;1.1),K31&gt;15,L31&gt;1.1),"KIRMIZI",IF(OR(AND(ISNUMBER(I31),I31&gt;1.05),K31&gt;10,L31&gt;1.05),"SARI","YEŞİL"))</f>
        <v>YEŞİL</v>
      </c>
      <c r="N31" s="13" t="str">
        <f>IF(M31="KIRMIZI",IF(AND(ISNUMBER(I31),I31&gt;1.1,L31&gt;1.1),"Bütçe Artırma + Ekip Takviyesi",IF(AND(ISNUMBER(I31),I31&gt;1.3),"Kapsam Daraltma",IF(K31&gt;15,"Bağımlılık Çözme",IF(L31&gt;1.1,"Ekip Yükü Azaltma","Bütçe Artırma")))),IF(M31="SARI","Yakın İzleme","-"))</f>
        <v>-</v>
      </c>
      <c r="O31" s="13" t="str">
        <f>IF(M31="KIRMIZI",D31,IF(M31="SARI","PMO","-"))</f>
        <v>-</v>
      </c>
      <c r="P31" s="13" t="str">
        <f>IFERROR(INDEX(ProjeAnaVerisi[Bağımlı Olduğu Proje],27),"-")</f>
        <v>P-003</v>
      </c>
      <c r="Q31" s="13">
        <f>COUNTIF(ProjeAnaVerisi[Bağımlı Olduğu Proje],A31)</f>
        <v>0</v>
      </c>
      <c r="R31" s="17" t="str">
        <f>IF(AND(M31="KIRMIZI",Q31&gt;0),"KRİTİK - "&amp;Q31&amp;" proje etkilenir",IF(AND(P31&lt;&gt;"-",P31&lt;&gt;"",IFERROR(VLOOKUP(P31,$A$5:$M$36,13,FALSE),"")="KIRMIZI"),"YÜKSEK - Bağımlı proje kırmızı",IF(Q31&gt;0,Q31&amp;" proje bağımlı","-")))</f>
        <v>YÜKSEK - Bağımlı proje kırmızı</v>
      </c>
    </row>
    <row r="32" spans="1:18" ht="20.25" customHeight="1">
      <c r="A32" s="18" t="str">
        <f>INDEX(ProjeAnaVerisi[Proje No],28)</f>
        <v>P-028</v>
      </c>
      <c r="B32" s="19" t="str">
        <f>INDEX(ProjeAnaVerisi[Proje],28)</f>
        <v>Sözleşme Arşivi</v>
      </c>
      <c r="C32" s="19" t="str">
        <f>INDEX(ProjeAnaVerisi[Sorumlu],28)</f>
        <v>Deniz Koç</v>
      </c>
      <c r="D32" s="20" t="str">
        <f>INDEX(ProjeAnaVerisi[Sponsor],28)</f>
        <v>CIO</v>
      </c>
      <c r="E32" s="21">
        <f>INDEX(ProjeAnaVerisi[Onaylı Bütçe],28)</f>
        <v>19000000</v>
      </c>
      <c r="F32" s="21" cm="1">
        <f t="array" ref="F32">SUMIFS(ProjeAylikDurum[Harcanan],ProjeAylikDurum[Proje No],A32,ProjeAylikDurum[Dönem],MAX(IF(ProjeAylikDurum[Proje No]=A32,ProjeAylikDurum[Dönem])))</f>
        <v>20288758</v>
      </c>
      <c r="G32" s="22" cm="1">
        <f t="array" ref="G32">SUMIFS(ProjeAylikDurum[Gerçek Tamamlanma],ProjeAylikDurum[Proje No],A32,ProjeAylikDurum[Dönem],MAX(IF(ProjeAylikDurum[Proje No]=A32,ProjeAylikDurum[Dönem])))</f>
        <v>1</v>
      </c>
      <c r="H32" s="21">
        <f>IF(G32=0,"İnceleme",F32/G32)</f>
        <v>20288758</v>
      </c>
      <c r="I32" s="22">
        <f>IF(ISNUMBER(H32),H32/E32,"N/A")</f>
        <v>1.0678293684210527</v>
      </c>
      <c r="J32" s="22" cm="1">
        <f t="array" ref="J32">SUMIFS(ProjeAylikDurum[Planlanan Tamamlanma],ProjeAylikDurum[Proje No],A32,ProjeAylikDurum[Dönem],MAX(IF(ProjeAylikDurum[Proje No]=A32,ProjeAylikDurum[Dönem])))-G32</f>
        <v>0</v>
      </c>
      <c r="K32" s="23" cm="1">
        <f t="array" ref="K32">SUMIFS(ProjeAylikDurum[Gecikme (Gün)],ProjeAylikDurum[Proje No],A32,ProjeAylikDurum[Dönem],MAX(IF(ProjeAylikDurum[Proje No]=A32,ProjeAylikDurum[Dönem])))</f>
        <v>0</v>
      </c>
      <c r="L32" s="22" cm="1">
        <f t="array" ref="L32">SUMIFS(ProjeAylikDurum[Ekip Yükü],ProjeAylikDurum[Proje No],A32,ProjeAylikDurum[Dönem],MAX(IF(ProjeAylikDurum[Proje No]=A32,ProjeAylikDurum[Dönem])))</f>
        <v>0.81541831285657229</v>
      </c>
      <c r="M32" s="20" t="str">
        <f>IF(OR(AND(ISNUMBER(I32),I32&gt;1.1),K32&gt;15,L32&gt;1.1),"KIRMIZI",IF(OR(AND(ISNUMBER(I32),I32&gt;1.05),K32&gt;10,L32&gt;1.05),"SARI","YEŞİL"))</f>
        <v>SARI</v>
      </c>
      <c r="N32" s="20" t="str">
        <f>IF(M32="KIRMIZI",IF(AND(ISNUMBER(I32),I32&gt;1.1,L32&gt;1.1),"Bütçe Artırma + Ekip Takviyesi",IF(AND(ISNUMBER(I32),I32&gt;1.3),"Kapsam Daraltma",IF(K32&gt;15,"Bağımlılık Çözme",IF(L32&gt;1.1,"Ekip Yükü Azaltma","Bütçe Artırma")))),IF(M32="SARI","Yakın İzleme","-"))</f>
        <v>Yakın İzleme</v>
      </c>
      <c r="O32" s="20" t="str">
        <f>IF(M32="KIRMIZI",D32,IF(M32="SARI","PMO","-"))</f>
        <v>PMO</v>
      </c>
      <c r="P32" s="20" t="str">
        <f>IFERROR(INDEX(ProjeAnaVerisi[Bağımlı Olduğu Proje],28),"-")</f>
        <v>P-004</v>
      </c>
      <c r="Q32" s="20">
        <f>COUNTIF(ProjeAnaVerisi[Bağımlı Olduğu Proje],A32)</f>
        <v>0</v>
      </c>
      <c r="R32" s="24" t="str">
        <f>IF(AND(M32="KIRMIZI",Q32&gt;0),"KRİTİK - "&amp;Q32&amp;" proje etkilenir",IF(AND(P32&lt;&gt;"-",P32&lt;&gt;"",IFERROR(VLOOKUP(P32,$A$5:$M$36,13,FALSE),"")="KIRMIZI"),"YÜKSEK - Bağımlı proje kırmızı",IF(Q32&gt;0,Q32&amp;" proje bağımlı","-")))</f>
        <v>-</v>
      </c>
    </row>
    <row r="33" spans="1:18" ht="20.25" customHeight="1">
      <c r="A33" s="11" t="str">
        <f>INDEX(ProjeAnaVerisi[Proje No],29)</f>
        <v>P-029</v>
      </c>
      <c r="B33" s="12" t="str">
        <f>INDEX(ProjeAnaVerisi[Proje],29)</f>
        <v>Bütçe Planlama</v>
      </c>
      <c r="C33" s="12" t="str">
        <f>INDEX(ProjeAnaVerisi[Sorumlu],29)</f>
        <v>Ece Şahin</v>
      </c>
      <c r="D33" s="13" t="str">
        <f>INDEX(ProjeAnaVerisi[Sponsor],29)</f>
        <v>CFO</v>
      </c>
      <c r="E33" s="14">
        <f>INDEX(ProjeAnaVerisi[Onaylı Bütçe],29)</f>
        <v>28000000</v>
      </c>
      <c r="F33" s="14" cm="1">
        <f t="array" ref="F33">SUMIFS(ProjeAylikDurum[Harcanan],ProjeAylikDurum[Proje No],A33,ProjeAylikDurum[Dönem],MAX(IF(ProjeAylikDurum[Proje No]=A33,ProjeAylikDurum[Dönem])))</f>
        <v>29448486</v>
      </c>
      <c r="G33" s="15" cm="1">
        <f t="array" ref="G33">SUMIFS(ProjeAylikDurum[Gerçek Tamamlanma],ProjeAylikDurum[Proje No],A33,ProjeAylikDurum[Dönem],MAX(IF(ProjeAylikDurum[Proje No]=A33,ProjeAylikDurum[Dönem])))</f>
        <v>1</v>
      </c>
      <c r="H33" s="14">
        <f>IF(G33=0,"İnceleme",F33/G33)</f>
        <v>29448486</v>
      </c>
      <c r="I33" s="15">
        <f>IF(ISNUMBER(H33),H33/E33,"N/A")</f>
        <v>1.0517316428571428</v>
      </c>
      <c r="J33" s="15" cm="1">
        <f t="array" ref="J33">SUMIFS(ProjeAylikDurum[Planlanan Tamamlanma],ProjeAylikDurum[Proje No],A33,ProjeAylikDurum[Dönem],MAX(IF(ProjeAylikDurum[Proje No]=A33,ProjeAylikDurum[Dönem])))-G33</f>
        <v>0</v>
      </c>
      <c r="K33" s="16" cm="1">
        <f t="array" ref="K33">SUMIFS(ProjeAylikDurum[Gecikme (Gün)],ProjeAylikDurum[Proje No],A33,ProjeAylikDurum[Dönem],MAX(IF(ProjeAylikDurum[Proje No]=A33,ProjeAylikDurum[Dönem])))</f>
        <v>0</v>
      </c>
      <c r="L33" s="15" cm="1">
        <f t="array" ref="L33">SUMIFS(ProjeAylikDurum[Ekip Yükü],ProjeAylikDurum[Proje No],A33,ProjeAylikDurum[Dönem],MAX(IF(ProjeAylikDurum[Proje No]=A33,ProjeAylikDurum[Dönem])))</f>
        <v>0.76377092402214131</v>
      </c>
      <c r="M33" s="13" t="str">
        <f>IF(OR(AND(ISNUMBER(I33),I33&gt;1.1),K33&gt;15,L33&gt;1.1),"KIRMIZI",IF(OR(AND(ISNUMBER(I33),I33&gt;1.05),K33&gt;10,L33&gt;1.05),"SARI","YEŞİL"))</f>
        <v>SARI</v>
      </c>
      <c r="N33" s="13" t="str">
        <f>IF(M33="KIRMIZI",IF(AND(ISNUMBER(I33),I33&gt;1.1,L33&gt;1.1),"Bütçe Artırma + Ekip Takviyesi",IF(AND(ISNUMBER(I33),I33&gt;1.3),"Kapsam Daraltma",IF(K33&gt;15,"Bağımlılık Çözme",IF(L33&gt;1.1,"Ekip Yükü Azaltma","Bütçe Artırma")))),IF(M33="SARI","Yakın İzleme","-"))</f>
        <v>Yakın İzleme</v>
      </c>
      <c r="O33" s="13" t="str">
        <f>IF(M33="KIRMIZI",D33,IF(M33="SARI","PMO","-"))</f>
        <v>PMO</v>
      </c>
      <c r="P33" s="13" t="str">
        <f>IFERROR(INDEX(ProjeAnaVerisi[Bağımlı Olduğu Proje],29),"-")</f>
        <v>P-001</v>
      </c>
      <c r="Q33" s="13">
        <f>COUNTIF(ProjeAnaVerisi[Bağımlı Olduğu Proje],A33)</f>
        <v>0</v>
      </c>
      <c r="R33" s="17" t="str">
        <f>IF(AND(M33="KIRMIZI",Q33&gt;0),"KRİTİK - "&amp;Q33&amp;" proje etkilenir",IF(AND(P33&lt;&gt;"-",P33&lt;&gt;"",IFERROR(VLOOKUP(P33,$A$5:$M$36,13,FALSE),"")="KIRMIZI"),"YÜKSEK - Bağımlı proje kırmızı",IF(Q33&gt;0,Q33&amp;" proje bağımlı","-")))</f>
        <v>YÜKSEK - Bağımlı proje kırmızı</v>
      </c>
    </row>
    <row r="34" spans="1:18" ht="20.25" customHeight="1">
      <c r="A34" s="18" t="str">
        <f>INDEX(ProjeAnaVerisi[Proje No],30)</f>
        <v>P-030</v>
      </c>
      <c r="B34" s="19" t="str">
        <f>INDEX(ProjeAnaVerisi[Proje],30)</f>
        <v>Tedarikçi Portalı</v>
      </c>
      <c r="C34" s="19" t="str">
        <f>INDEX(ProjeAnaVerisi[Sorumlu],30)</f>
        <v>Mert Arslan</v>
      </c>
      <c r="D34" s="20" t="str">
        <f>INDEX(ProjeAnaVerisi[Sponsor],30)</f>
        <v>COO</v>
      </c>
      <c r="E34" s="21">
        <f>INDEX(ProjeAnaVerisi[Onaylı Bütçe],30)</f>
        <v>20000000</v>
      </c>
      <c r="F34" s="21" cm="1">
        <f t="array" ref="F34">SUMIFS(ProjeAylikDurum[Harcanan],ProjeAylikDurum[Proje No],A34,ProjeAylikDurum[Dönem],MAX(IF(ProjeAylikDurum[Proje No]=A34,ProjeAylikDurum[Dönem])))</f>
        <v>22084879</v>
      </c>
      <c r="G34" s="22" cm="1">
        <f t="array" ref="G34">SUMIFS(ProjeAylikDurum[Gerçek Tamamlanma],ProjeAylikDurum[Proje No],A34,ProjeAylikDurum[Dönem],MAX(IF(ProjeAylikDurum[Proje No]=A34,ProjeAylikDurum[Dönem])))</f>
        <v>0.97865318371026533</v>
      </c>
      <c r="H34" s="21">
        <f>IF(G34=0,"İnceleme",F34/G34)</f>
        <v>22566604.153140247</v>
      </c>
      <c r="I34" s="22">
        <f>IF(ISNUMBER(H34),H34/E34,"N/A")</f>
        <v>1.1283302076570123</v>
      </c>
      <c r="J34" s="22" cm="1">
        <f t="array" ref="J34">SUMIFS(ProjeAylikDurum[Planlanan Tamamlanma],ProjeAylikDurum[Proje No],A34,ProjeAylikDurum[Dönem],MAX(IF(ProjeAylikDurum[Proje No]=A34,ProjeAylikDurum[Dönem])))-G34</f>
        <v>2.1346816289734671E-2</v>
      </c>
      <c r="K34" s="23" cm="1">
        <f t="array" ref="K34">SUMIFS(ProjeAylikDurum[Gecikme (Gün)],ProjeAylikDurum[Proje No],A34,ProjeAylikDurum[Dönem],MAX(IF(ProjeAylikDurum[Proje No]=A34,ProjeAylikDurum[Dönem])))</f>
        <v>2</v>
      </c>
      <c r="L34" s="22" cm="1">
        <f t="array" ref="L34">SUMIFS(ProjeAylikDurum[Ekip Yükü],ProjeAylikDurum[Proje No],A34,ProjeAylikDurum[Dönem],MAX(IF(ProjeAylikDurum[Proje No]=A34,ProjeAylikDurum[Dönem])))</f>
        <v>0.75820180827196759</v>
      </c>
      <c r="M34" s="20" t="str">
        <f>IF(OR(AND(ISNUMBER(I34),I34&gt;1.1),K34&gt;15,L34&gt;1.1),"KIRMIZI",IF(OR(AND(ISNUMBER(I34),I34&gt;1.05),K34&gt;10,L34&gt;1.05),"SARI","YEŞİL"))</f>
        <v>KIRMIZI</v>
      </c>
      <c r="N34" s="20" t="str">
        <f>IF(M34="KIRMIZI",IF(AND(ISNUMBER(I34),I34&gt;1.1,L34&gt;1.1),"Bütçe Artırma + Ekip Takviyesi",IF(AND(ISNUMBER(I34),I34&gt;1.3),"Kapsam Daraltma",IF(K34&gt;15,"Bağımlılık Çözme",IF(L34&gt;1.1,"Ekip Yükü Azaltma","Bütçe Artırma")))),IF(M34="SARI","Yakın İzleme","-"))</f>
        <v>Bütçe Artırma</v>
      </c>
      <c r="O34" s="20" t="str">
        <f>IF(M34="KIRMIZI",D34,IF(M34="SARI","PMO","-"))</f>
        <v>COO</v>
      </c>
      <c r="P34" s="20" t="str">
        <f>IFERROR(INDEX(ProjeAnaVerisi[Bağımlı Olduğu Proje],30),"-")</f>
        <v>P-002</v>
      </c>
      <c r="Q34" s="20">
        <f>COUNTIF(ProjeAnaVerisi[Bağımlı Olduğu Proje],A34)</f>
        <v>0</v>
      </c>
      <c r="R34" s="24" t="str">
        <f>IF(AND(M34="KIRMIZI",Q34&gt;0),"KRİTİK - "&amp;Q34&amp;" proje etkilenir",IF(AND(P34&lt;&gt;"-",P34&lt;&gt;"",IFERROR(VLOOKUP(P34,$A$5:$M$36,13,FALSE),"")="KIRMIZI"),"YÜKSEK - Bağımlı proje kırmızı",IF(Q34&gt;0,Q34&amp;" proje bağımlı","-")))</f>
        <v>YÜKSEK - Bağımlı proje kırmızı</v>
      </c>
    </row>
    <row r="35" spans="1:18" ht="20.25" customHeight="1">
      <c r="A35" s="11" t="str">
        <f>INDEX(ProjeAnaVerisi[Proje No],31)</f>
        <v>P-031</v>
      </c>
      <c r="B35" s="12" t="str">
        <f>INDEX(ProjeAnaVerisi[Proje],31)</f>
        <v>Çevresel Raporlama</v>
      </c>
      <c r="C35" s="12" t="str">
        <f>INDEX(ProjeAnaVerisi[Sorumlu],31)</f>
        <v>Aylin Demir</v>
      </c>
      <c r="D35" s="13" t="str">
        <f>INDEX(ProjeAnaVerisi[Sponsor],31)</f>
        <v>CCO</v>
      </c>
      <c r="E35" s="14">
        <f>INDEX(ProjeAnaVerisi[Onaylı Bütçe],31)</f>
        <v>10500000</v>
      </c>
      <c r="F35" s="14" cm="1">
        <f t="array" ref="F35">SUMIFS(ProjeAylikDurum[Harcanan],ProjeAylikDurum[Proje No],A35,ProjeAylikDurum[Dönem],MAX(IF(ProjeAylikDurum[Proje No]=A35,ProjeAylikDurum[Dönem])))</f>
        <v>9302620</v>
      </c>
      <c r="G35" s="15" cm="1">
        <f t="array" ref="G35">SUMIFS(ProjeAylikDurum[Gerçek Tamamlanma],ProjeAylikDurum[Proje No],A35,ProjeAylikDurum[Dönem],MAX(IF(ProjeAylikDurum[Proje No]=A35,ProjeAylikDurum[Dönem])))</f>
        <v>0.85086259037525724</v>
      </c>
      <c r="H35" s="14">
        <f>IF(G35=0,"İnceleme",F35/G35)</f>
        <v>10933163.715538664</v>
      </c>
      <c r="I35" s="15">
        <f>IF(ISNUMBER(H35),H35/E35,"N/A")</f>
        <v>1.0412536871941585</v>
      </c>
      <c r="J35" s="15" cm="1">
        <f t="array" ref="J35">SUMIFS(ProjeAylikDurum[Planlanan Tamamlanma],ProjeAylikDurum[Proje No],A35,ProjeAylikDurum[Dönem],MAX(IF(ProjeAylikDurum[Proje No]=A35,ProjeAylikDurum[Dönem])))-G35</f>
        <v>2.3036565366774564E-2</v>
      </c>
      <c r="K35" s="16" cm="1">
        <f t="array" ref="K35">SUMIFS(ProjeAylikDurum[Gecikme (Gün)],ProjeAylikDurum[Proje No],A35,ProjeAylikDurum[Dönem],MAX(IF(ProjeAylikDurum[Proje No]=A35,ProjeAylikDurum[Dönem])))</f>
        <v>2</v>
      </c>
      <c r="L35" s="15" cm="1">
        <f t="array" ref="L35">SUMIFS(ProjeAylikDurum[Ekip Yükü],ProjeAylikDurum[Proje No],A35,ProjeAylikDurum[Dönem],MAX(IF(ProjeAylikDurum[Proje No]=A35,ProjeAylikDurum[Dönem])))</f>
        <v>0.76941302379666909</v>
      </c>
      <c r="M35" s="13" t="str">
        <f>IF(OR(AND(ISNUMBER(I35),I35&gt;1.1),K35&gt;15,L35&gt;1.1),"KIRMIZI",IF(OR(AND(ISNUMBER(I35),I35&gt;1.05),K35&gt;10,L35&gt;1.05),"SARI","YEŞİL"))</f>
        <v>YEŞİL</v>
      </c>
      <c r="N35" s="13" t="str">
        <f>IF(M35="KIRMIZI",IF(AND(ISNUMBER(I35),I35&gt;1.1,L35&gt;1.1),"Bütçe Artırma + Ekip Takviyesi",IF(AND(ISNUMBER(I35),I35&gt;1.3),"Kapsam Daraltma",IF(K35&gt;15,"Bağımlılık Çözme",IF(L35&gt;1.1,"Ekip Yükü Azaltma","Bütçe Artırma")))),IF(M35="SARI","Yakın İzleme","-"))</f>
        <v>-</v>
      </c>
      <c r="O35" s="13" t="str">
        <f>IF(M35="KIRMIZI",D35,IF(M35="SARI","PMO","-"))</f>
        <v>-</v>
      </c>
      <c r="P35" s="13" t="str">
        <f>IFERROR(INDEX(ProjeAnaVerisi[Bağımlı Olduğu Proje],31),"-")</f>
        <v>P-003</v>
      </c>
      <c r="Q35" s="13">
        <f>COUNTIF(ProjeAnaVerisi[Bağımlı Olduğu Proje],A35)</f>
        <v>0</v>
      </c>
      <c r="R35" s="17" t="str">
        <f>IF(AND(M35="KIRMIZI",Q35&gt;0),"KRİTİK - "&amp;Q35&amp;" proje etkilenir",IF(AND(P35&lt;&gt;"-",P35&lt;&gt;"",IFERROR(VLOOKUP(P35,$A$5:$M$36,13,FALSE),"")="KIRMIZI"),"YÜKSEK - Bağımlı proje kırmızı",IF(Q35&gt;0,Q35&amp;" proje bağımlı","-")))</f>
        <v>YÜKSEK - Bağımlı proje kırmızı</v>
      </c>
    </row>
    <row r="36" spans="1:18" ht="20.25" customHeight="1">
      <c r="A36" s="25" t="str">
        <f>INDEX(ProjeAnaVerisi[Proje No],32)</f>
        <v>P-032</v>
      </c>
      <c r="B36" s="26" t="str">
        <f>INDEX(ProjeAnaVerisi[Proje],32)</f>
        <v>Kampanya Ölçümleme</v>
      </c>
      <c r="C36" s="26" t="str">
        <f>INDEX(ProjeAnaVerisi[Sorumlu],32)</f>
        <v>Burak Yalçın</v>
      </c>
      <c r="D36" s="27" t="str">
        <f>INDEX(ProjeAnaVerisi[Sponsor],32)</f>
        <v>CIO</v>
      </c>
      <c r="E36" s="28">
        <f>INDEX(ProjeAnaVerisi[Onaylı Bütçe],32)</f>
        <v>24000000</v>
      </c>
      <c r="F36" s="28" cm="1">
        <f t="array" ref="F36">SUMIFS(ProjeAylikDurum[Harcanan],ProjeAylikDurum[Proje No],A36,ProjeAylikDurum[Dönem],MAX(IF(ProjeAylikDurum[Proje No]=A36,ProjeAylikDurum[Dönem])))</f>
        <v>26682631</v>
      </c>
      <c r="G36" s="29" cm="1">
        <f t="array" ref="G36">SUMIFS(ProjeAylikDurum[Gerçek Tamamlanma],ProjeAylikDurum[Proje No],A36,ProjeAylikDurum[Dönem],MAX(IF(ProjeAylikDurum[Proje No]=A36,ProjeAylikDurum[Dönem])))</f>
        <v>1</v>
      </c>
      <c r="H36" s="28">
        <f>IF(G36=0,"İnceleme",F36/G36)</f>
        <v>26682631</v>
      </c>
      <c r="I36" s="29">
        <f>IF(ISNUMBER(H36),H36/E36,"N/A")</f>
        <v>1.1117762916666667</v>
      </c>
      <c r="J36" s="29" cm="1">
        <f t="array" ref="J36">SUMIFS(ProjeAylikDurum[Planlanan Tamamlanma],ProjeAylikDurum[Proje No],A36,ProjeAylikDurum[Dönem],MAX(IF(ProjeAylikDurum[Proje No]=A36,ProjeAylikDurum[Dönem])))-G36</f>
        <v>0</v>
      </c>
      <c r="K36" s="30" cm="1">
        <f t="array" ref="K36">SUMIFS(ProjeAylikDurum[Gecikme (Gün)],ProjeAylikDurum[Proje No],A36,ProjeAylikDurum[Dönem],MAX(IF(ProjeAylikDurum[Proje No]=A36,ProjeAylikDurum[Dönem])))</f>
        <v>0</v>
      </c>
      <c r="L36" s="29" cm="1">
        <f t="array" ref="L36">SUMIFS(ProjeAylikDurum[Ekip Yükü],ProjeAylikDurum[Proje No],A36,ProjeAylikDurum[Dönem],MAX(IF(ProjeAylikDurum[Proje No]=A36,ProjeAylikDurum[Dönem])))</f>
        <v>0.77659223471270267</v>
      </c>
      <c r="M36" s="27" t="str">
        <f>IF(OR(AND(ISNUMBER(I36),I36&gt;1.1),K36&gt;15,L36&gt;1.1),"KIRMIZI",IF(OR(AND(ISNUMBER(I36),I36&gt;1.05),K36&gt;10,L36&gt;1.05),"SARI","YEŞİL"))</f>
        <v>KIRMIZI</v>
      </c>
      <c r="N36" s="27" t="str">
        <f>IF(M36="KIRMIZI",IF(AND(ISNUMBER(I36),I36&gt;1.1,L36&gt;1.1),"Bütçe Artırma + Ekip Takviyesi",IF(AND(ISNUMBER(I36),I36&gt;1.3),"Kapsam Daraltma",IF(K36&gt;15,"Bağımlılık Çözme",IF(L36&gt;1.1,"Ekip Yükü Azaltma","Bütçe Artırma")))),IF(M36="SARI","Yakın İzleme","-"))</f>
        <v>Bütçe Artırma</v>
      </c>
      <c r="O36" s="27" t="str">
        <f>IF(M36="KIRMIZI",D36,IF(M36="SARI","PMO","-"))</f>
        <v>CIO</v>
      </c>
      <c r="P36" s="27" t="str">
        <f>IFERROR(INDEX(ProjeAnaVerisi[Bağımlı Olduğu Proje],32),"-")</f>
        <v>P-004</v>
      </c>
      <c r="Q36" s="27">
        <f>COUNTIF(ProjeAnaVerisi[Bağımlı Olduğu Proje],A36)</f>
        <v>0</v>
      </c>
      <c r="R36" s="31" t="str">
        <f>IF(AND(M36="KIRMIZI",Q36&gt;0),"KRİTİK - "&amp;Q36&amp;" proje etkilenir",IF(AND(P36&lt;&gt;"-",P36&lt;&gt;"",IFERROR(VLOOKUP(P36,$A$5:$M$36,13,FALSE),"")="KIRMIZI"),"YÜKSEK - Bağımlı proje kırmızı",IF(Q36&gt;0,Q36&amp;" proje bağımlı","-")))</f>
        <v>-</v>
      </c>
    </row>
    <row r="39" spans="1:18" ht="24" customHeight="1">
      <c r="A39" s="44" t="s">
        <v>120</v>
      </c>
      <c r="B39" s="44"/>
      <c r="C39" s="44"/>
      <c r="D39" s="44"/>
      <c r="E39" s="44"/>
      <c r="F39" s="44"/>
      <c r="H39" s="45" t="s">
        <v>121</v>
      </c>
      <c r="I39" s="45"/>
      <c r="J39" s="45"/>
      <c r="K39" s="45"/>
      <c r="L39" s="45"/>
      <c r="M39" s="45"/>
      <c r="N39" s="45"/>
      <c r="O39" s="45"/>
      <c r="P39" s="45"/>
      <c r="Q39" s="45"/>
      <c r="R39" s="45"/>
    </row>
    <row r="40" spans="1:18">
      <c r="H40" s="32" t="s">
        <v>122</v>
      </c>
      <c r="I40" s="32" t="s">
        <v>2</v>
      </c>
      <c r="J40" s="32" t="s">
        <v>110</v>
      </c>
      <c r="K40" s="32" t="s">
        <v>123</v>
      </c>
      <c r="L40" s="32" t="s">
        <v>124</v>
      </c>
      <c r="M40" s="32" t="s">
        <v>95</v>
      </c>
      <c r="N40" s="32" t="s">
        <v>106</v>
      </c>
      <c r="O40" s="32" t="s">
        <v>125</v>
      </c>
      <c r="P40" s="32" t="s">
        <v>4</v>
      </c>
    </row>
    <row r="41" spans="1:18">
      <c r="A41" s="36" t="s">
        <v>126</v>
      </c>
      <c r="B41" s="37">
        <f>COUNTA(A5:A36)</f>
        <v>32</v>
      </c>
      <c r="H41" s="33">
        <v>1</v>
      </c>
      <c r="I41" s="33" t="str" cm="1">
        <f t="array" ref="I41">IFERROR(INDEX($A$5:$A$36,MATCH(LARGE(IF($M$5:$M$36="KIRMIZI",$I$5:$I$36),1),$I$5:$I$36,0)),"")</f>
        <v>P-002</v>
      </c>
      <c r="J41" s="33" t="str">
        <f>IF(I41&lt;&gt;"",VLOOKUP(I41,$A$5:$R$36,2,FALSE),"")</f>
        <v>Gebze Sevkiyat İyileştirme</v>
      </c>
      <c r="K41" s="34">
        <f>IF(I41&lt;&gt;"",VLOOKUP(I41,$A$5:$R$36,9,FALSE),"")</f>
        <v>1.5041233849845641</v>
      </c>
      <c r="L41" s="35">
        <f>IF(I41&lt;&gt;"",VLOOKUP(I41,$A$5:$R$36,11,FALSE),"")</f>
        <v>16</v>
      </c>
      <c r="M41" s="34">
        <f>IF(I41&lt;&gt;"",VLOOKUP(I41,$A$5:$R$36,12,FALSE),"")</f>
        <v>1.178380179429749</v>
      </c>
      <c r="N41" s="33" t="str">
        <f>IF(I41&lt;&gt;"",VLOOKUP(I41,$A$5:$R$36,18,FALSE),"")</f>
        <v>KRİTİK - 7 proje etkilenir</v>
      </c>
      <c r="O41" s="33" t="str">
        <f>IF(I41&lt;&gt;"",VLOOKUP(I41,$A$5:$R$36,14,FALSE),"")</f>
        <v>Bütçe Artırma + Ekip Takviyesi</v>
      </c>
      <c r="P41" s="33" t="str">
        <f>IF(I41&lt;&gt;"",VLOOKUP(I41,$A$5:$R$36,4,FALSE),"")</f>
        <v>COO</v>
      </c>
    </row>
    <row r="42" spans="1:18">
      <c r="A42" s="40" t="s">
        <v>127</v>
      </c>
      <c r="B42" s="41">
        <f>COUNTIF(M5:M36,"KIRMIZI")</f>
        <v>9</v>
      </c>
      <c r="H42" s="33">
        <v>2</v>
      </c>
      <c r="I42" s="33" t="str" cm="1">
        <f t="array" ref="I42">IFERROR(INDEX($A$5:$A$36,MATCH(LARGE(IF($M$5:$M$36="KIRMIZI",$I$5:$I$36),2),$I$5:$I$36,0)),"")</f>
        <v>P-012</v>
      </c>
      <c r="J42" s="33" t="str">
        <f>IF(I42&lt;&gt;"",VLOOKUP(I42,$A$5:$R$36,2,FALSE),"")</f>
        <v>Online İade Azaltma</v>
      </c>
      <c r="K42" s="34">
        <f>IF(I42&lt;&gt;"",VLOOKUP(I42,$A$5:$R$36,9,FALSE),"")</f>
        <v>1.438744697784945</v>
      </c>
      <c r="L42" s="35">
        <f>IF(I42&lt;&gt;"",VLOOKUP(I42,$A$5:$R$36,11,FALSE),"")</f>
        <v>12</v>
      </c>
      <c r="M42" s="34">
        <f>IF(I42&lt;&gt;"",VLOOKUP(I42,$A$5:$R$36,12,FALSE),"")</f>
        <v>0.99776898899729682</v>
      </c>
      <c r="N42" s="33" t="str">
        <f>IF(I42&lt;&gt;"",VLOOKUP(I42,$A$5:$R$36,18,FALSE),"")</f>
        <v>-</v>
      </c>
      <c r="O42" s="33" t="str">
        <f>IF(I42&lt;&gt;"",VLOOKUP(I42,$A$5:$R$36,14,FALSE),"")</f>
        <v>Kapsam Daraltma</v>
      </c>
      <c r="P42" s="33" t="str">
        <f>IF(I42&lt;&gt;"",VLOOKUP(I42,$A$5:$R$36,4,FALSE),"")</f>
        <v>CIO</v>
      </c>
    </row>
    <row r="43" spans="1:18">
      <c r="A43" s="36" t="s">
        <v>128</v>
      </c>
      <c r="B43" s="37">
        <f>COUNTIF(M5:M36,"SARI")</f>
        <v>7</v>
      </c>
      <c r="H43" s="33">
        <v>3</v>
      </c>
      <c r="I43" s="33" t="str" cm="1">
        <f t="array" ref="I43">IFERROR(INDEX($A$5:$A$36,MATCH(LARGE(IF($M$5:$M$36="KIRMIZI",$I$5:$I$36),3),$I$5:$I$36,0)),"")</f>
        <v>P-025</v>
      </c>
      <c r="J43" s="33" t="str">
        <f>IF(I43&lt;&gt;"",VLOOKUP(I43,$A$5:$R$36,2,FALSE),"")</f>
        <v>Sigma Seri Yeniden Tasarım</v>
      </c>
      <c r="K43" s="34">
        <f>IF(I43&lt;&gt;"",VLOOKUP(I43,$A$5:$R$36,9,FALSE),"")</f>
        <v>1.3243146925710967</v>
      </c>
      <c r="L43" s="35">
        <f>IF(I43&lt;&gt;"",VLOOKUP(I43,$A$5:$R$36,11,FALSE),"")</f>
        <v>13</v>
      </c>
      <c r="M43" s="34">
        <f>IF(I43&lt;&gt;"",VLOOKUP(I43,$A$5:$R$36,12,FALSE),"")</f>
        <v>1.105909384529463</v>
      </c>
      <c r="N43" s="33" t="str">
        <f>IF(I43&lt;&gt;"",VLOOKUP(I43,$A$5:$R$36,18,FALSE),"")</f>
        <v>YÜKSEK - Bağımlı proje kırmızı</v>
      </c>
      <c r="O43" s="33" t="str">
        <f>IF(I43&lt;&gt;"",VLOOKUP(I43,$A$5:$R$36,14,FALSE),"")</f>
        <v>Bütçe Artırma + Ekip Takviyesi</v>
      </c>
      <c r="P43" s="33" t="str">
        <f>IF(I43&lt;&gt;"",VLOOKUP(I43,$A$5:$R$36,4,FALSE),"")</f>
        <v>CFO</v>
      </c>
    </row>
    <row r="44" spans="1:18">
      <c r="A44" s="36" t="s">
        <v>129</v>
      </c>
      <c r="B44" s="37">
        <f>COUNTIF(M5:M36,"YEŞİL")</f>
        <v>16</v>
      </c>
      <c r="H44" s="33">
        <v>4</v>
      </c>
      <c r="I44" s="33" t="str" cm="1">
        <f t="array" ref="I44">IFERROR(INDEX($A$5:$A$36,MATCH(LARGE(IF($M$5:$M$36="KIRMIZI",$I$5:$I$36),4),$I$5:$I$36,0)),"")</f>
        <v>P-001</v>
      </c>
      <c r="J44" s="33" t="str">
        <f>IF(I44&lt;&gt;"",VLOOKUP(I44,$A$5:$R$36,2,FALSE),"")</f>
        <v>Alfa Panel Kapasite Artışı</v>
      </c>
      <c r="K44" s="34">
        <f>IF(I44&lt;&gt;"",VLOOKUP(I44,$A$5:$R$36,9,FALSE),"")</f>
        <v>1.21687821905978</v>
      </c>
      <c r="L44" s="35">
        <f>IF(I44&lt;&gt;"",VLOOKUP(I44,$A$5:$R$36,11,FALSE),"")</f>
        <v>14</v>
      </c>
      <c r="M44" s="34">
        <f>IF(I44&lt;&gt;"",VLOOKUP(I44,$A$5:$R$36,12,FALSE),"")</f>
        <v>1.187535073660136</v>
      </c>
      <c r="N44" s="33" t="str">
        <f>IF(I44&lt;&gt;"",VLOOKUP(I44,$A$5:$R$36,18,FALSE),"")</f>
        <v>KRİTİK - 7 proje etkilenir</v>
      </c>
      <c r="O44" s="33" t="str">
        <f>IF(I44&lt;&gt;"",VLOOKUP(I44,$A$5:$R$36,14,FALSE),"")</f>
        <v>Bütçe Artırma + Ekip Takviyesi</v>
      </c>
      <c r="P44" s="33" t="str">
        <f>IF(I44&lt;&gt;"",VLOOKUP(I44,$A$5:$R$36,4,FALSE),"")</f>
        <v>CFO</v>
      </c>
    </row>
    <row r="45" spans="1:18">
      <c r="A45" s="36" t="s">
        <v>130</v>
      </c>
      <c r="B45" s="38">
        <f>SUM(E5:E36)</f>
        <v>602000000</v>
      </c>
      <c r="H45" s="33">
        <v>5</v>
      </c>
      <c r="I45" s="33" t="str" cm="1">
        <f t="array" ref="I45">IFERROR(INDEX($A$5:$A$36,MATCH(LARGE(IF($M$5:$M$36="KIRMIZI",$I$5:$I$36),5),$I$5:$I$36,0)),"")</f>
        <v>P-007</v>
      </c>
      <c r="J45" s="33" t="str">
        <f>IF(I45&lt;&gt;"",VLOOKUP(I45,$A$5:$R$36,2,FALSE),"")</f>
        <v>Saha Servis Mobil</v>
      </c>
      <c r="K45" s="34">
        <f>IF(I45&lt;&gt;"",VLOOKUP(I45,$A$5:$R$36,9,FALSE),"")</f>
        <v>1.1342229270129405</v>
      </c>
      <c r="L45" s="35">
        <f>IF(I45&lt;&gt;"",VLOOKUP(I45,$A$5:$R$36,11,FALSE),"")</f>
        <v>2</v>
      </c>
      <c r="M45" s="34">
        <f>IF(I45&lt;&gt;"",VLOOKUP(I45,$A$5:$R$36,12,FALSE),"")</f>
        <v>0.93229880796143449</v>
      </c>
      <c r="N45" s="33" t="str">
        <f>IF(I45&lt;&gt;"",VLOOKUP(I45,$A$5:$R$36,18,FALSE),"")</f>
        <v>YÜKSEK - Bağımlı proje kırmızı</v>
      </c>
      <c r="O45" s="33" t="str">
        <f>IF(I45&lt;&gt;"",VLOOKUP(I45,$A$5:$R$36,14,FALSE),"")</f>
        <v>Bütçe Artırma</v>
      </c>
      <c r="P45" s="33" t="str">
        <f>IF(I45&lt;&gt;"",VLOOKUP(I45,$A$5:$R$36,4,FALSE),"")</f>
        <v>CCO</v>
      </c>
    </row>
    <row r="46" spans="1:18">
      <c r="A46" s="36" t="s">
        <v>131</v>
      </c>
      <c r="B46" s="38">
        <f>SUM(F5:F36)</f>
        <v>594622552</v>
      </c>
    </row>
    <row r="47" spans="1:18">
      <c r="A47" s="36" t="s">
        <v>132</v>
      </c>
      <c r="B47" s="38">
        <f>SUMIF(H5:H36,"&gt;0")</f>
        <v>634028989.39968717</v>
      </c>
    </row>
    <row r="48" spans="1:18">
      <c r="A48" s="36" t="s">
        <v>133</v>
      </c>
      <c r="B48" s="39">
        <f>AVERAGEIF(I5:I36,"&gt;0")</f>
        <v>1.0633730409744118</v>
      </c>
    </row>
    <row r="49" spans="1:2">
      <c r="A49" s="36" t="s">
        <v>134</v>
      </c>
      <c r="B49" s="37">
        <f>COUNTIF(R5:R36,"KRİTİK*")</f>
        <v>3</v>
      </c>
    </row>
    <row r="50" spans="1:2">
      <c r="A50" s="36" t="s">
        <v>135</v>
      </c>
      <c r="B50" s="37">
        <f>COUNTIF(R5:R36,"YÜKSEK*")</f>
        <v>21</v>
      </c>
    </row>
  </sheetData>
  <mergeCells count="4">
    <mergeCell ref="A1:N1"/>
    <mergeCell ref="A2:N2"/>
    <mergeCell ref="A39:F39"/>
    <mergeCell ref="H39:R39"/>
  </mergeCells>
  <conditionalFormatting sqref="M5:M36">
    <cfRule type="containsText" dxfId="7" priority="1" operator="containsText" text="KIRMIZI">
      <formula>NOT(ISERROR(SEARCH("KIRMIZI",M5)))</formula>
    </cfRule>
  </conditionalFormatting>
  <conditionalFormatting sqref="M5:M36">
    <cfRule type="containsText" dxfId="6" priority="2" operator="containsText" text="SARI">
      <formula>NOT(ISERROR(SEARCH("SARI",M5)))</formula>
    </cfRule>
  </conditionalFormatting>
  <conditionalFormatting sqref="M5:M36">
    <cfRule type="containsText" dxfId="5" priority="3" operator="containsText" text="YEŞİL">
      <formula>NOT(ISERROR(SEARCH("YEŞİL",M5)))</formula>
    </cfRule>
  </conditionalFormatting>
  <conditionalFormatting sqref="I5:I36">
    <cfRule type="cellIs" dxfId="4" priority="4" operator="greaterThan">
      <formula>1.1</formula>
    </cfRule>
  </conditionalFormatting>
  <conditionalFormatting sqref="K5:K36">
    <cfRule type="cellIs" dxfId="3" priority="5" operator="greaterThan">
      <formula>15</formula>
    </cfRule>
  </conditionalFormatting>
  <conditionalFormatting sqref="L5:L36">
    <cfRule type="cellIs" dxfId="2" priority="6" operator="greaterThan">
      <formula>1.1</formula>
    </cfRule>
  </conditionalFormatting>
  <conditionalFormatting sqref="R5:R36">
    <cfRule type="containsText" dxfId="1" priority="7" operator="containsText" text="KRİTİK">
      <formula>NOT(ISERROR(SEARCH("KRİTİK",R5)))</formula>
    </cfRule>
  </conditionalFormatting>
  <conditionalFormatting sqref="R5:R36">
    <cfRule type="containsText" dxfId="0" priority="8" operator="containsText" text="YÜKSEK">
      <formula>NOT(ISERROR(SEARCH("YÜKSEK",R5)))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Kıvanç Akdeniz</cp:lastModifiedBy>
  <cp:revision/>
  <dcterms:created xsi:type="dcterms:W3CDTF">2026-07-19T14:20:33Z</dcterms:created>
  <dcterms:modified xsi:type="dcterms:W3CDTF">2026-07-19T15:04:11Z</dcterms:modified>
  <cp:category/>
  <cp:contentStatus/>
</cp:coreProperties>
</file>