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xr:revisionPtr revIDLastSave="377" documentId="11_2ACB8DBC49ADF4DA1EF2A2D5CF77E60E72BD3DB8" xr6:coauthVersionLast="47" xr6:coauthVersionMax="47" xr10:uidLastSave="{2255A963-E2E1-4037-B394-3AD091A192E3}"/>
  <bookViews>
    <workbookView xWindow="0" yWindow="0" windowWidth="0" windowHeight="0" xr2:uid="{00000000-000D-0000-FFFF-FFFF00000000}"/>
  </bookViews>
  <sheets>
    <sheet name="Gerçekleşen" sheetId="1" r:id="rId1"/>
    <sheet name="Varsayımlar" sheetId="2" r:id="rId2"/>
    <sheet name="İş Notları" sheetId="3" r:id="rId3"/>
    <sheet name="Plan Modeli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1" i="4" l="1"/>
  <c r="L60" i="4"/>
  <c r="L59" i="4"/>
  <c r="N51" i="4" a="1"/>
  <c r="N51" i="4"/>
  <c r="M51" i="4" a="1"/>
  <c r="M51" i="4"/>
  <c r="L51" i="4" a="1"/>
  <c r="L51" i="4"/>
  <c r="K51" i="4" a="1"/>
  <c r="K51" i="4"/>
  <c r="J51" i="4" a="1"/>
  <c r="J51" i="4"/>
  <c r="J55" i="4" a="1"/>
  <c r="J55" i="4"/>
  <c r="K55" i="4" a="1"/>
  <c r="K55" i="4"/>
  <c r="L55" i="4" a="1"/>
  <c r="L55" i="4"/>
  <c r="M55" i="4" a="1"/>
  <c r="M55" i="4"/>
  <c r="N55" i="4" a="1"/>
  <c r="N55" i="4"/>
  <c r="J54" i="4" a="1"/>
  <c r="J54" i="4"/>
  <c r="K54" i="4" a="1"/>
  <c r="K54" i="4"/>
  <c r="L54" i="4" a="1"/>
  <c r="L54" i="4"/>
  <c r="M54" i="4" a="1"/>
  <c r="M54" i="4"/>
  <c r="N54" i="4" a="1"/>
  <c r="N54" i="4"/>
  <c r="J53" i="4" a="1"/>
  <c r="J53" i="4"/>
  <c r="K53" i="4" a="1"/>
  <c r="K53" i="4"/>
  <c r="L53" i="4" a="1"/>
  <c r="L53" i="4"/>
  <c r="M53" i="4" a="1"/>
  <c r="M53" i="4"/>
  <c r="N53" i="4" a="1"/>
  <c r="N53" i="4"/>
  <c r="J52" i="4" a="1"/>
  <c r="J52" i="4"/>
  <c r="K52" i="4" a="1"/>
  <c r="K52" i="4"/>
  <c r="L52" i="4" a="1"/>
  <c r="L52" i="4"/>
  <c r="M52" i="4" a="1"/>
  <c r="M52" i="4"/>
  <c r="N52" i="4" a="1"/>
  <c r="N52" i="4"/>
  <c r="J50" i="4" a="1"/>
  <c r="J50" i="4"/>
  <c r="K50" i="4" a="1"/>
  <c r="K50" i="4"/>
  <c r="L50" i="4" a="1"/>
  <c r="L50" i="4"/>
  <c r="M50" i="4" a="1"/>
  <c r="M50" i="4"/>
  <c r="N50" i="4" a="1"/>
  <c r="N50" i="4"/>
  <c r="J49" i="4" a="1"/>
  <c r="J49" i="4"/>
  <c r="K49" i="4" a="1"/>
  <c r="K49" i="4"/>
  <c r="L49" i="4" a="1"/>
  <c r="L49" i="4"/>
  <c r="M49" i="4" a="1"/>
  <c r="M49" i="4"/>
  <c r="N49" i="4" a="1"/>
  <c r="N49" i="4"/>
  <c r="I45" i="4"/>
  <c r="J45" i="4"/>
  <c r="K45" i="4"/>
  <c r="I44" i="4"/>
  <c r="J44" i="4"/>
  <c r="K44" i="4"/>
  <c r="I43" i="4"/>
  <c r="J43" i="4"/>
  <c r="K43" i="4"/>
  <c r="I42" i="4"/>
  <c r="J42" i="4"/>
  <c r="K42" i="4"/>
  <c r="I41" i="4"/>
  <c r="J41" i="4"/>
  <c r="K41" i="4"/>
  <c r="I40" i="4"/>
  <c r="J40" i="4"/>
  <c r="K40" i="4"/>
  <c r="I39" i="4"/>
  <c r="J39" i="4"/>
  <c r="K39" i="4"/>
  <c r="B51" i="4"/>
  <c r="C51" i="4"/>
  <c r="D51" i="4"/>
  <c r="B50" i="4"/>
  <c r="C50" i="4"/>
  <c r="D50" i="4"/>
  <c r="B49" i="4"/>
  <c r="C49" i="4"/>
  <c r="D49" i="4"/>
  <c r="B48" i="4"/>
  <c r="C48" i="4"/>
  <c r="D48" i="4"/>
  <c r="B47" i="4"/>
  <c r="C47" i="4"/>
  <c r="D47" i="4"/>
  <c r="B46" i="4"/>
  <c r="C46" i="4"/>
  <c r="D46" i="4"/>
  <c r="B45" i="4"/>
  <c r="C45" i="4"/>
  <c r="D45" i="4"/>
  <c r="B44" i="4"/>
  <c r="C44" i="4"/>
  <c r="D44" i="4"/>
  <c r="B43" i="4"/>
  <c r="C43" i="4"/>
  <c r="D43" i="4"/>
  <c r="B42" i="4"/>
  <c r="C42" i="4"/>
  <c r="D42" i="4"/>
  <c r="B41" i="4"/>
  <c r="C41" i="4"/>
  <c r="D41" i="4"/>
  <c r="B40" i="4"/>
  <c r="C40" i="4"/>
  <c r="D40" i="4"/>
  <c r="B39" i="4"/>
  <c r="C39" i="4"/>
  <c r="D39" i="4"/>
  <c r="A39" i="4"/>
  <c r="A40" i="4"/>
  <c r="A41" i="4"/>
  <c r="A42" i="4"/>
  <c r="A43" i="4"/>
  <c r="A44" i="4"/>
  <c r="A45" i="4"/>
  <c r="A46" i="4"/>
  <c r="A47" i="4"/>
  <c r="A48" i="4"/>
  <c r="A49" i="4"/>
  <c r="A50" i="4"/>
  <c r="B35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B34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B33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B32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B31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B30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B29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B28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B27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B26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B25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B24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B23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A23" i="4"/>
  <c r="A24" i="4"/>
  <c r="A25" i="4"/>
  <c r="A26" i="4"/>
  <c r="A27" i="4"/>
  <c r="A28" i="4"/>
  <c r="A29" i="4"/>
  <c r="A30" i="4"/>
  <c r="A31" i="4"/>
  <c r="A32" i="4"/>
  <c r="A33" i="4"/>
  <c r="A34" i="4"/>
  <c r="B18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B17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B16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B15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B14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B13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B12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B11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B10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B9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B8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B7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B6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A6" i="4"/>
  <c r="A7" i="4"/>
  <c r="A8" i="4"/>
  <c r="A9" i="4"/>
  <c r="A10" i="4"/>
  <c r="A11" i="4"/>
  <c r="A12" i="4"/>
  <c r="A13" i="4"/>
  <c r="A14" i="4"/>
  <c r="A15" i="4"/>
  <c r="A16" i="4"/>
  <c r="A17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<sst xmlns="http://schemas.openxmlformats.org/spreadsheetml/2006/main" count="136" uniqueCount="81">
  <si>
    <t>Contoso — Aylık Finansal Gerçekleşen</t>
  </si>
  <si>
    <t>2023–2025 gelir tablosu, işletme sermayesi günleri ve yatırım harcamaları. Tüm rakamlar örnek veridir.</t>
  </si>
  <si>
    <t>Ay</t>
  </si>
  <si>
    <t>Net Gelir</t>
  </si>
  <si>
    <t>Brüt Kâr</t>
  </si>
  <si>
    <t>Brüt Marj</t>
  </si>
  <si>
    <t>Satış ve Pazarlama</t>
  </si>
  <si>
    <t>Personel</t>
  </si>
  <si>
    <t>Diğer Faaliyet</t>
  </si>
  <si>
    <t>FAVÖK</t>
  </si>
  <si>
    <t>DSO</t>
  </si>
  <si>
    <t>Stok Günü</t>
  </si>
  <si>
    <t>Borç Günü</t>
  </si>
  <si>
    <t>CapEx</t>
  </si>
  <si>
    <t>Contoso — 2026 Plan Varsayımları</t>
  </si>
  <si>
    <t>Baz, aşağı ve yukarı senaryoları CFO plan toplantısı öncesinde onaylanmıştır.</t>
  </si>
  <si>
    <t>Sürücü</t>
  </si>
  <si>
    <t>Baz</t>
  </si>
  <si>
    <t>Aşağı</t>
  </si>
  <si>
    <t>Yukarı</t>
  </si>
  <si>
    <t>Birim</t>
  </si>
  <si>
    <t>Gelir büyümesi</t>
  </si>
  <si>
    <t>Yıllık</t>
  </si>
  <si>
    <t>Brüt marj</t>
  </si>
  <si>
    <t>Gelirin yüzdesi</t>
  </si>
  <si>
    <t>Faaliyet gideri</t>
  </si>
  <si>
    <t>Gün</t>
  </si>
  <si>
    <t>Stok günü</t>
  </si>
  <si>
    <t>Borç günü</t>
  </si>
  <si>
    <t>Vergi oranı</t>
  </si>
  <si>
    <t>Oran</t>
  </si>
  <si>
    <t>Aylık iskonto</t>
  </si>
  <si>
    <t>Finansal plan notları</t>
  </si>
  <si>
    <t>Analiz sırasında kullanılacak iş tanımları ve karar eşikleri.</t>
  </si>
  <si>
    <t>Konu</t>
  </si>
  <si>
    <t>Tanım</t>
  </si>
  <si>
    <t>Serbest nakit akışı</t>
  </si>
  <si>
    <t>Vergi sonrası FAVÖK − işletme sermayesi artışı − CapEx yaklaşımını kullanın.</t>
  </si>
  <si>
    <t>Senaryolar</t>
  </si>
  <si>
    <t>Baz, aşağı ve yukarı senaryoların tümü aynı model satırlarını ve canlı formülleri kullansın.</t>
  </si>
  <si>
    <t>Karar sorusu</t>
  </si>
  <si>
    <t>Hangi senaryoda nakit açığı oluşuyor ve brüt marj hangi seviyenin altında planı bozuyor?</t>
  </si>
  <si>
    <t>Contoso — 2026 Aylık Finansal Plan (Baz / Aşağı / Yukarı Senaryolar)</t>
  </si>
  <si>
    <t>İş Notları: Serbest nakit akışı = Vergi sonrası FAVÖK − İşletme sermayesi artışı − CapEx</t>
  </si>
  <si>
    <t>GELİR TABLOSU</t>
  </si>
  <si>
    <t>BAZ SENARYO</t>
  </si>
  <si>
    <t>AŞAĞI SENARYO</t>
  </si>
  <si>
    <t>YUKARI SENARYO</t>
  </si>
  <si>
    <t>Faal. Gideri</t>
  </si>
  <si>
    <t>FAVÖK Marjı</t>
  </si>
  <si>
    <t>2026 TOPLAM</t>
  </si>
  <si>
    <t>İŞLETME SERMAYESİ VE NAKİT AKIŞI</t>
  </si>
  <si>
    <t>Alacaklar</t>
  </si>
  <si>
    <t>Stok</t>
  </si>
  <si>
    <t>Borçlar</t>
  </si>
  <si>
    <t>Net İşl.Serm.</t>
  </si>
  <si>
    <t>NİS Değişimi</t>
  </si>
  <si>
    <t>Serbest NK</t>
  </si>
  <si>
    <t>CAPEX DETAY</t>
  </si>
  <si>
    <t>SENARYO KARŞILAŞTIRMA ÖZETİ</t>
  </si>
  <si>
    <t>CapEx (Baz)</t>
  </si>
  <si>
    <t>CapEx (Aşağı)</t>
  </si>
  <si>
    <t>CapEx (Yukarı)</t>
  </si>
  <si>
    <t>Metrik</t>
  </si>
  <si>
    <t>Yıllık Net Gelir</t>
  </si>
  <si>
    <t>"TL"</t>
  </si>
  <si>
    <t>Yıllık FAVÖK</t>
  </si>
  <si>
    <t>"%"</t>
  </si>
  <si>
    <t>Yıllık CapEx</t>
  </si>
  <si>
    <t>Yıllık NİS Değişimi</t>
  </si>
  <si>
    <t>Yıllık Serbest NK</t>
  </si>
  <si>
    <t>NPV (Serbest NK)</t>
  </si>
  <si>
    <t>DUYARLILIK ANALİZİ: Serbest Nakit Akışı (TL)</t>
  </si>
  <si>
    <t>Gelir Büyümesi \ Brüt Marj</t>
  </si>
  <si>
    <t>KARAR NOTU: NAKİT AÇIĞI EŞİĞİ</t>
  </si>
  <si>
    <t>⚠ Nakit açığı başladığı eşikler (Serbest NK &lt; 0):</t>
  </si>
  <si>
    <t>→ Baz büyüme (%7) ile: Brüt marj</t>
  </si>
  <si>
    <t>altına düşmemeli</t>
  </si>
  <si>
    <t>→ Aşağı büyüme (%-3) ile: Brüt marj</t>
  </si>
  <si>
    <t>→ Sıfır büyüme (%0) ile: Brüt marj</t>
  </si>
  <si>
    <t>✓ 2025 sonu brüt marj %37.3 — Aşağı senaryoda (%−3 büyüme, %34 marj) nakit açığı kesin.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</si>
</sst>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mmm\ yyyy"/>
    <numFmt numFmtId="166" formatCode="0.0%"/>
  </numFmts>
  <fonts count="10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i/>
      <sz val="10"/>
      <color rgb="FF667085"/>
      <name val="Calibri"/>
    </font>
    <font>
      <b/>
      <sz val="11"/>
      <color rgb="FFFFFFFF"/>
      <name val="Calibri"/>
    </font>
    <font>
      <b/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1F4E79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</fills>
  <borders count="11">
    <border>
      <left/>
      <right/>
      <top/>
      <bottom/>
      <diagonal/>
    </border>
    <border>
      <left style="thin">
        <color rgb="FFD9DEE7"/>
      </left>
      <right style="thin">
        <color rgb="FFD9DEE7"/>
      </right>
      <top style="thin">
        <color rgb="FFD9DEE7"/>
      </top>
      <bottom style="thin">
        <color rgb="FFD9DEE7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7" fillId="8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0" fontId="4" fillId="9" borderId="0" xfId="0" applyFont="1" applyFill="1" applyAlignment="1">
      <alignment horizontal="center" wrapText="1"/>
    </xf>
    <xf numFmtId="165" fontId="0" fillId="0" borderId="0" xfId="0" applyNumberFormat="1"/>
    <xf numFmtId="3" fontId="0" fillId="0" borderId="0" xfId="0" applyNumberFormat="1"/>
    <xf numFmtId="166" fontId="0" fillId="0" borderId="0" xfId="0" applyNumberFormat="1"/>
    <xf numFmtId="0" fontId="4" fillId="10" borderId="0" xfId="0" applyFont="1" applyFill="1"/>
    <xf numFmtId="3" fontId="4" fillId="10" borderId="0" xfId="0" applyNumberFormat="1" applyFont="1" applyFill="1"/>
    <xf numFmtId="166" fontId="4" fillId="10" borderId="0" xfId="0" applyNumberFormat="1" applyFont="1" applyFill="1"/>
    <xf numFmtId="0" fontId="4" fillId="9" borderId="10" xfId="0" applyFont="1" applyFill="1" applyBorder="1" applyAlignment="1">
      <alignment horizontal="center"/>
    </xf>
    <xf numFmtId="0" fontId="4" fillId="0" borderId="10" xfId="0" applyFont="1" applyBorder="1"/>
    <xf numFmtId="3" fontId="0" fillId="0" borderId="10" xfId="0" applyNumberFormat="1" applyBorder="1"/>
    <xf numFmtId="0" fontId="0" fillId="0" borderId="10" xfId="0" applyBorder="1"/>
    <xf numFmtId="0" fontId="7" fillId="6" borderId="10" xfId="0" applyFont="1" applyFill="1" applyBorder="1" applyAlignment="1">
      <alignment horizontal="center"/>
    </xf>
    <xf numFmtId="0" fontId="7" fillId="7" borderId="10" xfId="0" applyFont="1" applyFill="1" applyBorder="1" applyAlignment="1">
      <alignment horizontal="center"/>
    </xf>
    <xf numFmtId="0" fontId="7" fillId="8" borderId="10" xfId="0" applyFont="1" applyFill="1" applyBorder="1" applyAlignment="1">
      <alignment horizontal="center"/>
    </xf>
    <xf numFmtId="0" fontId="4" fillId="13" borderId="10" xfId="0" applyFont="1" applyFill="1" applyBorder="1"/>
    <xf numFmtId="3" fontId="0" fillId="13" borderId="10" xfId="0" applyNumberFormat="1" applyFill="1" applyBorder="1"/>
    <xf numFmtId="0" fontId="0" fillId="13" borderId="10" xfId="0" applyFill="1" applyBorder="1"/>
    <xf numFmtId="0" fontId="4" fillId="9" borderId="10" xfId="0" applyFont="1" applyFill="1" applyBorder="1" applyAlignment="1">
      <alignment horizontal="center"/>
    </xf>
    <xf numFmtId="9" fontId="4" fillId="9" borderId="10" xfId="0" applyNumberFormat="1" applyFont="1" applyFill="1" applyBorder="1" applyAlignment="1">
      <alignment horizontal="center"/>
    </xf>
    <xf numFmtId="9" fontId="4" fillId="9" borderId="10" xfId="0" applyNumberFormat="1" applyFont="1" applyFill="1" applyBorder="1" applyAlignment="1">
      <alignment horizontal="center"/>
    </xf>
    <xf numFmtId="0" fontId="0" fillId="12" borderId="0" xfId="0" applyFill="1" applyBorder="1"/>
    <xf numFmtId="0" fontId="0" fillId="12" borderId="8" xfId="0" applyFill="1" applyBorder="1"/>
    <xf numFmtId="166" fontId="8" fillId="12" borderId="0" xfId="0" applyNumberFormat="1" applyFont="1" applyFill="1" applyBorder="1"/>
    <xf numFmtId="9" fontId="0" fillId="0" borderId="10" xfId="0" applyNumberFormat="1" applyBorder="1"/>
    <xf numFmtId="0" fontId="0" fillId="0" borderId="0" xfId="0" applyAlignment="1"/>
    <xf numFmtId="0" fontId="6" fillId="4" borderId="0" xfId="0" applyFont="1" applyFill="1" applyAlignment="1"/>
    <xf numFmtId="0" fontId="7" fillId="5" borderId="0" xfId="0" applyFont="1" applyFill="1" applyAlignment="1"/>
    <xf numFmtId="0" fontId="9" fillId="3" borderId="0" xfId="0" applyFont="1" applyFill="1" applyAlignment="1"/>
    <xf numFmtId="0" fontId="7" fillId="11" borderId="4" xfId="0" applyFont="1" applyFill="1" applyBorder="1" applyAlignment="1"/>
    <xf numFmtId="0" fontId="7" fillId="11" borderId="3" xfId="0" applyFont="1" applyFill="1" applyBorder="1" applyAlignment="1"/>
    <xf numFmtId="0" fontId="7" fillId="11" borderId="7" xfId="0" applyFont="1" applyFill="1" applyBorder="1" applyAlignment="1"/>
    <xf numFmtId="0" fontId="0" fillId="12" borderId="5" xfId="0" applyFill="1" applyBorder="1" applyAlignment="1"/>
    <xf numFmtId="0" fontId="0" fillId="12" borderId="0" xfId="0" applyFill="1" applyBorder="1" applyAlignment="1"/>
    <xf numFmtId="0" fontId="0" fillId="12" borderId="8" xfId="0" applyFill="1" applyBorder="1" applyAlignment="1"/>
    <xf numFmtId="0" fontId="8" fillId="14" borderId="6" xfId="0" applyFont="1" applyFill="1" applyBorder="1" applyAlignment="1"/>
    <xf numFmtId="0" fontId="8" fillId="14" borderId="2" xfId="0" applyFont="1" applyFill="1" applyBorder="1" applyAlignment="1"/>
    <xf numFmtId="0" fontId="8" fillId="14" borderId="9" xfId="0" applyFont="1" applyFill="1" applyBorder="1" applyAlignment="1"/>
  </cellXfs>
  <cellStyles count="1">
    <cellStyle name="Normal" xfId="0" builtinId="0"/>
  </cellStyles>
  <dxfs count="3">
    <dxf>
      <font>
        <b/>
        <i val="0"/>
      </font>
      <fill>
        <patternFill patternType="solid">
          <fgColor indexed="64"/>
          <bgColor rgb="FFFFCCCC"/>
        </patternFill>
      </fill>
    </dxf>
    <dxf>
      <font>
        <color rgb="FF006100"/>
      </font>
      <fill>
        <patternFill patternType="solid">
          <fgColor indexed="64"/>
          <bgColor rgb="FFC6EFCE"/>
        </patternFill>
      </fill>
    </dxf>
    <dxf>
      <font>
        <color rgb="FFC00000"/>
      </font>
      <fill>
        <patternFill patternType="solid">
          <fgColor indexed="64"/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inansalGerceklesen" displayName="FinansalGerceklesen" ref="A4:L40">
  <autoFilter ref="A4:L40" xr:uid="{00000000-0009-0000-0100-000001000000}"/>
  <tableColumns count="12">
    <tableColumn id="1" xr3:uid="{00000000-0010-0000-0000-000001000000}" name="Ay"/>
    <tableColumn id="2" xr3:uid="{00000000-0010-0000-0000-000002000000}" name="Net Gelir"/>
    <tableColumn id="3" xr3:uid="{00000000-0010-0000-0000-000003000000}" name="Brüt Kâr"/>
    <tableColumn id="4" xr3:uid="{00000000-0010-0000-0000-000004000000}" name="Brüt Marj"/>
    <tableColumn id="5" xr3:uid="{00000000-0010-0000-0000-000005000000}" name="Satış ve Pazarlama"/>
    <tableColumn id="6" xr3:uid="{00000000-0010-0000-0000-000006000000}" name="Personel"/>
    <tableColumn id="7" xr3:uid="{00000000-0010-0000-0000-000007000000}" name="Diğer Faaliyet"/>
    <tableColumn id="8" xr3:uid="{00000000-0010-0000-0000-000008000000}" name="FAVÖK"/>
    <tableColumn id="9" xr3:uid="{00000000-0010-0000-0000-000009000000}" name="DSO"/>
    <tableColumn id="10" xr3:uid="{00000000-0010-0000-0000-00000A000000}" name="Stok Günü"/>
    <tableColumn id="11" xr3:uid="{00000000-0010-0000-0000-00000B000000}" name="Borç Günü"/>
    <tableColumn id="12" xr3:uid="{00000000-0010-0000-0000-00000C000000}" name="CapEx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lanVarsayimlari" displayName="PlanVarsayimlari" ref="A4:E13">
  <autoFilter ref="A4:E13" xr:uid="{00000000-0009-0000-0100-000002000000}"/>
  <tableColumns count="5">
    <tableColumn id="1" xr3:uid="{00000000-0010-0000-0100-000001000000}" name="Sürücü"/>
    <tableColumn id="2" xr3:uid="{00000000-0010-0000-0100-000002000000}" name="Baz"/>
    <tableColumn id="3" xr3:uid="{00000000-0010-0000-0100-000003000000}" name="Aşağı"/>
    <tableColumn id="4" xr3:uid="{00000000-0010-0000-0100-000004000000}" name="Yukarı"/>
    <tableColumn id="5" xr3:uid="{00000000-0010-0000-0100-000005000000}" name="Birim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IsNotlari" displayName="IsNotlari" ref="A4:B7">
  <autoFilter ref="A4:B7" xr:uid="{00000000-0009-0000-0100-000003000000}"/>
  <tableColumns count="2">
    <tableColumn id="1" xr3:uid="{00000000-0010-0000-0200-000001000000}" name="Konu"/>
    <tableColumn id="2" xr3:uid="{00000000-0010-0000-0200-000002000000}" name="Tanı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" customWidth="1"/>
    <col min="2" max="3" width="15" customWidth="1"/>
    <col min="4" max="4" width="12" customWidth="1"/>
    <col min="5" max="5" width="19" customWidth="1"/>
    <col min="6" max="6" width="15" customWidth="1"/>
    <col min="7" max="7" width="16" customWidth="1"/>
    <col min="8" max="8" width="15" customWidth="1"/>
    <col min="9" max="9" width="10" customWidth="1"/>
    <col min="10" max="11" width="12" customWidth="1"/>
    <col min="12" max="12" width="14" customWidth="1"/>
  </cols>
  <sheetData>
    <row r="1" spans="1:12" ht="27.95" customHeight="1">
      <c r="A1" s="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>
      <c r="A2" s="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4" spans="1:1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</row>
    <row r="5" spans="1:12">
      <c r="A5" s="2">
        <v>44927</v>
      </c>
      <c r="B5" s="3">
        <v>7682847</v>
      </c>
      <c r="C5" s="3">
        <v>3111862</v>
      </c>
      <c r="D5" s="3">
        <v>0.40504025208369998</v>
      </c>
      <c r="E5" s="3">
        <v>643062</v>
      </c>
      <c r="F5" s="3">
        <v>999077</v>
      </c>
      <c r="G5" s="3">
        <v>379028</v>
      </c>
      <c r="H5" s="3">
        <v>1090695</v>
      </c>
      <c r="I5" s="3">
        <v>45.9</v>
      </c>
      <c r="J5" s="3">
        <v>63.4</v>
      </c>
      <c r="K5" s="3">
        <v>38.200000000000003</v>
      </c>
      <c r="L5" s="3">
        <v>389270</v>
      </c>
    </row>
    <row r="6" spans="1:12">
      <c r="A6" s="2">
        <v>44958</v>
      </c>
      <c r="B6" s="3">
        <v>8081338</v>
      </c>
      <c r="C6" s="3">
        <v>3295478</v>
      </c>
      <c r="D6" s="3">
        <v>0.40778862387854731</v>
      </c>
      <c r="E6" s="3">
        <v>711626</v>
      </c>
      <c r="F6" s="3">
        <v>1038568</v>
      </c>
      <c r="G6" s="3">
        <v>449523</v>
      </c>
      <c r="H6" s="3">
        <v>1095761</v>
      </c>
      <c r="I6" s="3">
        <v>46.2</v>
      </c>
      <c r="J6" s="3">
        <v>63.6</v>
      </c>
      <c r="K6" s="3">
        <v>36.4</v>
      </c>
      <c r="L6" s="3">
        <v>414857</v>
      </c>
    </row>
    <row r="7" spans="1:12">
      <c r="A7" s="2">
        <v>44986</v>
      </c>
      <c r="B7" s="3">
        <v>8813513</v>
      </c>
      <c r="C7" s="3">
        <v>3597995</v>
      </c>
      <c r="D7" s="3">
        <v>0.40823620301377339</v>
      </c>
      <c r="E7" s="3">
        <v>763674</v>
      </c>
      <c r="F7" s="3">
        <v>1123824</v>
      </c>
      <c r="G7" s="3">
        <v>447135</v>
      </c>
      <c r="H7" s="3">
        <v>1263362</v>
      </c>
      <c r="I7" s="3">
        <v>46.4</v>
      </c>
      <c r="J7" s="3">
        <v>65.2</v>
      </c>
      <c r="K7" s="3">
        <v>39.700000000000003</v>
      </c>
      <c r="L7" s="3">
        <v>450394</v>
      </c>
    </row>
    <row r="8" spans="1:12">
      <c r="A8" s="2">
        <v>45017</v>
      </c>
      <c r="B8" s="3">
        <v>9301392</v>
      </c>
      <c r="C8" s="3">
        <v>3743972</v>
      </c>
      <c r="D8" s="3">
        <v>0.40251740074607351</v>
      </c>
      <c r="E8" s="3">
        <v>709672</v>
      </c>
      <c r="F8" s="3">
        <v>1141890</v>
      </c>
      <c r="G8" s="3">
        <v>513873</v>
      </c>
      <c r="H8" s="3">
        <v>1378537</v>
      </c>
      <c r="I8" s="3">
        <v>46.8</v>
      </c>
      <c r="J8" s="3">
        <v>63.3</v>
      </c>
      <c r="K8" s="3">
        <v>39.5</v>
      </c>
      <c r="L8" s="3">
        <v>456508</v>
      </c>
    </row>
    <row r="9" spans="1:12">
      <c r="A9" s="2">
        <v>45047</v>
      </c>
      <c r="B9" s="3">
        <v>9444095</v>
      </c>
      <c r="C9" s="3">
        <v>3719045</v>
      </c>
      <c r="D9" s="3">
        <v>0.39379582882497238</v>
      </c>
      <c r="E9" s="3">
        <v>822436</v>
      </c>
      <c r="F9" s="3">
        <v>1162470</v>
      </c>
      <c r="G9" s="3">
        <v>505154</v>
      </c>
      <c r="H9" s="3">
        <v>1228985</v>
      </c>
      <c r="I9" s="3">
        <v>47.5</v>
      </c>
      <c r="J9" s="3">
        <v>64</v>
      </c>
      <c r="K9" s="3">
        <v>38</v>
      </c>
      <c r="L9" s="3">
        <v>352538</v>
      </c>
    </row>
    <row r="10" spans="1:12">
      <c r="A10" s="2">
        <v>45078</v>
      </c>
      <c r="B10" s="3">
        <v>9379877</v>
      </c>
      <c r="C10" s="3">
        <v>3794182</v>
      </c>
      <c r="D10" s="3">
        <v>0.40450234864553869</v>
      </c>
      <c r="E10" s="3">
        <v>799192</v>
      </c>
      <c r="F10" s="3">
        <v>1171307</v>
      </c>
      <c r="G10" s="3">
        <v>562022</v>
      </c>
      <c r="H10" s="3">
        <v>1261661</v>
      </c>
      <c r="I10" s="3">
        <v>47.1</v>
      </c>
      <c r="J10" s="3">
        <v>63.5</v>
      </c>
      <c r="K10" s="3">
        <v>39.700000000000003</v>
      </c>
      <c r="L10" s="3">
        <v>418191</v>
      </c>
    </row>
    <row r="11" spans="1:12">
      <c r="A11" s="2">
        <v>45108</v>
      </c>
      <c r="B11" s="3">
        <v>8705444</v>
      </c>
      <c r="C11" s="3">
        <v>3412586</v>
      </c>
      <c r="D11" s="3">
        <v>0.39200601820653869</v>
      </c>
      <c r="E11" s="3">
        <v>686136</v>
      </c>
      <c r="F11" s="3">
        <v>1042964</v>
      </c>
      <c r="G11" s="3">
        <v>423394</v>
      </c>
      <c r="H11" s="3">
        <v>1260092</v>
      </c>
      <c r="I11" s="3">
        <v>49.1</v>
      </c>
      <c r="J11" s="3">
        <v>65.5</v>
      </c>
      <c r="K11" s="3">
        <v>36.4</v>
      </c>
      <c r="L11" s="3">
        <v>413040</v>
      </c>
    </row>
    <row r="12" spans="1:12">
      <c r="A12" s="2">
        <v>45139</v>
      </c>
      <c r="B12" s="3">
        <v>8927023</v>
      </c>
      <c r="C12" s="3">
        <v>3556649</v>
      </c>
      <c r="D12" s="3">
        <v>0.39841380983404001</v>
      </c>
      <c r="E12" s="3">
        <v>704269</v>
      </c>
      <c r="F12" s="3">
        <v>1164110</v>
      </c>
      <c r="G12" s="3">
        <v>501223</v>
      </c>
      <c r="H12" s="3">
        <v>1187047</v>
      </c>
      <c r="I12" s="3">
        <v>48.4</v>
      </c>
      <c r="J12" s="3">
        <v>64</v>
      </c>
      <c r="K12" s="3">
        <v>39.700000000000003</v>
      </c>
      <c r="L12" s="3">
        <v>488706</v>
      </c>
    </row>
    <row r="13" spans="1:12">
      <c r="A13" s="2">
        <v>45170</v>
      </c>
      <c r="B13" s="3">
        <v>9770647</v>
      </c>
      <c r="C13" s="3">
        <v>3896111</v>
      </c>
      <c r="D13" s="3">
        <v>0.39875673685098662</v>
      </c>
      <c r="E13" s="3">
        <v>844045</v>
      </c>
      <c r="F13" s="3">
        <v>1195016</v>
      </c>
      <c r="G13" s="3">
        <v>570581</v>
      </c>
      <c r="H13" s="3">
        <v>1286469</v>
      </c>
      <c r="I13" s="3">
        <v>48.8</v>
      </c>
      <c r="J13" s="3">
        <v>64.2</v>
      </c>
      <c r="K13" s="3">
        <v>39.5</v>
      </c>
      <c r="L13" s="3">
        <v>426600</v>
      </c>
    </row>
    <row r="14" spans="1:12">
      <c r="A14" s="2">
        <v>45200</v>
      </c>
      <c r="B14" s="3">
        <v>10084388</v>
      </c>
      <c r="C14" s="3">
        <v>3965227</v>
      </c>
      <c r="D14" s="3">
        <v>0.39320457496753658</v>
      </c>
      <c r="E14" s="3">
        <v>762005</v>
      </c>
      <c r="F14" s="3">
        <v>1282522</v>
      </c>
      <c r="G14" s="3">
        <v>562351</v>
      </c>
      <c r="H14" s="3">
        <v>1358349</v>
      </c>
      <c r="I14" s="3">
        <v>48.8</v>
      </c>
      <c r="J14" s="3">
        <v>64.5</v>
      </c>
      <c r="K14" s="3">
        <v>38</v>
      </c>
      <c r="L14" s="3">
        <v>538811</v>
      </c>
    </row>
    <row r="15" spans="1:12">
      <c r="A15" s="2">
        <v>45231</v>
      </c>
      <c r="B15" s="3">
        <v>10601458</v>
      </c>
      <c r="C15" s="3">
        <v>4195730</v>
      </c>
      <c r="D15" s="3">
        <v>0.3957691062053032</v>
      </c>
      <c r="E15" s="3">
        <v>887252</v>
      </c>
      <c r="F15" s="3">
        <v>1373593</v>
      </c>
      <c r="G15" s="3">
        <v>620222</v>
      </c>
      <c r="H15" s="3">
        <v>1314663</v>
      </c>
      <c r="I15" s="3">
        <v>49.4</v>
      </c>
      <c r="J15" s="3">
        <v>66.2</v>
      </c>
      <c r="K15" s="3">
        <v>39.299999999999997</v>
      </c>
      <c r="L15" s="3">
        <v>438192</v>
      </c>
    </row>
    <row r="16" spans="1:12">
      <c r="A16" s="2">
        <v>45261</v>
      </c>
      <c r="B16" s="3">
        <v>11512815</v>
      </c>
      <c r="C16" s="3">
        <v>4474732</v>
      </c>
      <c r="D16" s="3">
        <v>0.38867398384075769</v>
      </c>
      <c r="E16" s="3">
        <v>998376</v>
      </c>
      <c r="F16" s="3">
        <v>1485052</v>
      </c>
      <c r="G16" s="3">
        <v>629719</v>
      </c>
      <c r="H16" s="3">
        <v>1361585</v>
      </c>
      <c r="I16" s="3">
        <v>49.2</v>
      </c>
      <c r="J16" s="3">
        <v>66.599999999999994</v>
      </c>
      <c r="K16" s="3">
        <v>39.9</v>
      </c>
      <c r="L16" s="3">
        <v>596926</v>
      </c>
    </row>
    <row r="17" spans="1:12">
      <c r="A17" s="2">
        <v>45292</v>
      </c>
      <c r="B17" s="3">
        <v>8456389</v>
      </c>
      <c r="C17" s="3">
        <v>3274557</v>
      </c>
      <c r="D17" s="3">
        <v>0.3872287224827467</v>
      </c>
      <c r="E17" s="3">
        <v>672536</v>
      </c>
      <c r="F17" s="3">
        <v>1056862</v>
      </c>
      <c r="G17" s="3">
        <v>416533</v>
      </c>
      <c r="H17" s="3">
        <v>1128626</v>
      </c>
      <c r="I17" s="3">
        <v>50.6</v>
      </c>
      <c r="J17" s="3">
        <v>64.599999999999994</v>
      </c>
      <c r="K17" s="3">
        <v>37.799999999999997</v>
      </c>
      <c r="L17" s="3">
        <v>298347</v>
      </c>
    </row>
    <row r="18" spans="1:12">
      <c r="A18" s="2">
        <v>45323</v>
      </c>
      <c r="B18" s="3">
        <v>8496128</v>
      </c>
      <c r="C18" s="3">
        <v>3352489</v>
      </c>
      <c r="D18" s="3">
        <v>0.39459023987610231</v>
      </c>
      <c r="E18" s="3">
        <v>771848</v>
      </c>
      <c r="F18" s="3">
        <v>1012423</v>
      </c>
      <c r="G18" s="3">
        <v>495486</v>
      </c>
      <c r="H18" s="3">
        <v>1072732</v>
      </c>
      <c r="I18" s="3">
        <v>48.9</v>
      </c>
      <c r="J18" s="3">
        <v>65.599999999999994</v>
      </c>
      <c r="K18" s="3">
        <v>39</v>
      </c>
      <c r="L18" s="3">
        <v>459873</v>
      </c>
    </row>
    <row r="19" spans="1:12">
      <c r="A19" s="2">
        <v>45352</v>
      </c>
      <c r="B19" s="3">
        <v>9630572</v>
      </c>
      <c r="C19" s="3">
        <v>3799901</v>
      </c>
      <c r="D19" s="3">
        <v>0.39456653577771789</v>
      </c>
      <c r="E19" s="3">
        <v>747630</v>
      </c>
      <c r="F19" s="3">
        <v>1178668</v>
      </c>
      <c r="G19" s="3">
        <v>535266</v>
      </c>
      <c r="H19" s="3">
        <v>1338337</v>
      </c>
      <c r="I19" s="3">
        <v>51.2</v>
      </c>
      <c r="J19" s="3">
        <v>67</v>
      </c>
      <c r="K19" s="3">
        <v>38</v>
      </c>
      <c r="L19" s="3">
        <v>475841</v>
      </c>
    </row>
    <row r="20" spans="1:12">
      <c r="A20" s="2">
        <v>45383</v>
      </c>
      <c r="B20" s="3">
        <v>9629298</v>
      </c>
      <c r="C20" s="3">
        <v>3727182</v>
      </c>
      <c r="D20" s="3">
        <v>0.38706684273159309</v>
      </c>
      <c r="E20" s="3">
        <v>818441</v>
      </c>
      <c r="F20" s="3">
        <v>1265443</v>
      </c>
      <c r="G20" s="3">
        <v>571864</v>
      </c>
      <c r="H20" s="3">
        <v>1071434</v>
      </c>
      <c r="I20" s="3">
        <v>50.3</v>
      </c>
      <c r="J20" s="3">
        <v>63.7</v>
      </c>
      <c r="K20" s="3">
        <v>38.700000000000003</v>
      </c>
      <c r="L20" s="3">
        <v>517104</v>
      </c>
    </row>
    <row r="21" spans="1:12">
      <c r="A21" s="2">
        <v>45413</v>
      </c>
      <c r="B21" s="3">
        <v>10312389</v>
      </c>
      <c r="C21" s="3">
        <v>4096496</v>
      </c>
      <c r="D21" s="3">
        <v>0.39724025826287618</v>
      </c>
      <c r="E21" s="3">
        <v>827075</v>
      </c>
      <c r="F21" s="3">
        <v>1276349</v>
      </c>
      <c r="G21" s="3">
        <v>603315</v>
      </c>
      <c r="H21" s="3">
        <v>1389757</v>
      </c>
      <c r="I21" s="3">
        <v>50.6</v>
      </c>
      <c r="J21" s="3">
        <v>64.3</v>
      </c>
      <c r="K21" s="3">
        <v>36.1</v>
      </c>
      <c r="L21" s="3">
        <v>382824</v>
      </c>
    </row>
    <row r="22" spans="1:12">
      <c r="A22" s="2">
        <v>45444</v>
      </c>
      <c r="B22" s="3">
        <v>10331519</v>
      </c>
      <c r="C22" s="3">
        <v>3952033</v>
      </c>
      <c r="D22" s="3">
        <v>0.38252200596735481</v>
      </c>
      <c r="E22" s="3">
        <v>835813</v>
      </c>
      <c r="F22" s="3">
        <v>1270236</v>
      </c>
      <c r="G22" s="3">
        <v>599269</v>
      </c>
      <c r="H22" s="3">
        <v>1246715</v>
      </c>
      <c r="I22" s="3">
        <v>48.8</v>
      </c>
      <c r="J22" s="3">
        <v>65.8</v>
      </c>
      <c r="K22" s="3">
        <v>37.299999999999997</v>
      </c>
      <c r="L22" s="3">
        <v>424351</v>
      </c>
    </row>
    <row r="23" spans="1:12">
      <c r="A23" s="2">
        <v>45474</v>
      </c>
      <c r="B23" s="3">
        <v>9319056</v>
      </c>
      <c r="C23" s="3">
        <v>3566794</v>
      </c>
      <c r="D23" s="3">
        <v>0.38274196552009232</v>
      </c>
      <c r="E23" s="3">
        <v>849239</v>
      </c>
      <c r="F23" s="3">
        <v>1174226</v>
      </c>
      <c r="G23" s="3">
        <v>544831</v>
      </c>
      <c r="H23" s="3">
        <v>998498</v>
      </c>
      <c r="I23" s="3">
        <v>49.6</v>
      </c>
      <c r="J23" s="3">
        <v>66</v>
      </c>
      <c r="K23" s="3">
        <v>37.700000000000003</v>
      </c>
      <c r="L23" s="3">
        <v>388869</v>
      </c>
    </row>
    <row r="24" spans="1:12">
      <c r="A24" s="2">
        <v>45505</v>
      </c>
      <c r="B24" s="3">
        <v>9710702</v>
      </c>
      <c r="C24" s="3">
        <v>3794515</v>
      </c>
      <c r="D24" s="3">
        <v>0.39075597285162011</v>
      </c>
      <c r="E24" s="3">
        <v>739777</v>
      </c>
      <c r="F24" s="3">
        <v>1200128</v>
      </c>
      <c r="G24" s="3">
        <v>490793</v>
      </c>
      <c r="H24" s="3">
        <v>1363817</v>
      </c>
      <c r="I24" s="3">
        <v>52.9</v>
      </c>
      <c r="J24" s="3">
        <v>64.2</v>
      </c>
      <c r="K24" s="3">
        <v>38.200000000000003</v>
      </c>
      <c r="L24" s="3">
        <v>502816</v>
      </c>
    </row>
    <row r="25" spans="1:12">
      <c r="A25" s="2">
        <v>45536</v>
      </c>
      <c r="B25" s="3">
        <v>10511180</v>
      </c>
      <c r="C25" s="3">
        <v>4110663</v>
      </c>
      <c r="D25" s="3">
        <v>0.3910753551293436</v>
      </c>
      <c r="E25" s="3">
        <v>822027</v>
      </c>
      <c r="F25" s="3">
        <v>1344940</v>
      </c>
      <c r="G25" s="3">
        <v>624486</v>
      </c>
      <c r="H25" s="3">
        <v>1319210</v>
      </c>
      <c r="I25" s="3">
        <v>49.9</v>
      </c>
      <c r="J25" s="3">
        <v>66.3</v>
      </c>
      <c r="K25" s="3">
        <v>39.1</v>
      </c>
      <c r="L25" s="3">
        <v>476546</v>
      </c>
    </row>
    <row r="26" spans="1:12">
      <c r="A26" s="2">
        <v>45566</v>
      </c>
      <c r="B26" s="3">
        <v>11264355</v>
      </c>
      <c r="C26" s="3">
        <v>4287960</v>
      </c>
      <c r="D26" s="3">
        <v>0.38066625087991041</v>
      </c>
      <c r="E26" s="3">
        <v>1006519</v>
      </c>
      <c r="F26" s="3">
        <v>1390693</v>
      </c>
      <c r="G26" s="3">
        <v>602976</v>
      </c>
      <c r="H26" s="3">
        <v>1287772</v>
      </c>
      <c r="I26" s="3">
        <v>51.3</v>
      </c>
      <c r="J26" s="3">
        <v>64.7</v>
      </c>
      <c r="K26" s="3">
        <v>37.200000000000003</v>
      </c>
      <c r="L26" s="3">
        <v>471766</v>
      </c>
    </row>
    <row r="27" spans="1:12">
      <c r="A27" s="2">
        <v>45597</v>
      </c>
      <c r="B27" s="3">
        <v>11460517</v>
      </c>
      <c r="C27" s="3">
        <v>4414152</v>
      </c>
      <c r="D27" s="3">
        <v>0.38516163868895098</v>
      </c>
      <c r="E27" s="3">
        <v>1011554</v>
      </c>
      <c r="F27" s="3">
        <v>1419045</v>
      </c>
      <c r="G27" s="3">
        <v>619786</v>
      </c>
      <c r="H27" s="3">
        <v>1363767</v>
      </c>
      <c r="I27" s="3">
        <v>51.1</v>
      </c>
      <c r="J27" s="3">
        <v>66.400000000000006</v>
      </c>
      <c r="K27" s="3">
        <v>36.5</v>
      </c>
      <c r="L27" s="3">
        <v>583708</v>
      </c>
    </row>
    <row r="28" spans="1:12">
      <c r="A28" s="2">
        <v>45627</v>
      </c>
      <c r="B28" s="3">
        <v>12370425</v>
      </c>
      <c r="C28" s="3">
        <v>4816529</v>
      </c>
      <c r="D28" s="3">
        <v>0.38935843747789461</v>
      </c>
      <c r="E28" s="3">
        <v>1106087</v>
      </c>
      <c r="F28" s="3">
        <v>1499774</v>
      </c>
      <c r="G28" s="3">
        <v>747146</v>
      </c>
      <c r="H28" s="3">
        <v>1463522</v>
      </c>
      <c r="I28" s="3">
        <v>53.6</v>
      </c>
      <c r="J28" s="3">
        <v>67.3</v>
      </c>
      <c r="K28" s="3">
        <v>37.6</v>
      </c>
      <c r="L28" s="3">
        <v>626763</v>
      </c>
    </row>
    <row r="29" spans="1:12">
      <c r="A29" s="2">
        <v>45658</v>
      </c>
      <c r="B29" s="3">
        <v>9309514</v>
      </c>
      <c r="C29" s="3">
        <v>3594649</v>
      </c>
      <c r="D29" s="3">
        <v>0.38612638335018767</v>
      </c>
      <c r="E29" s="3">
        <v>850335</v>
      </c>
      <c r="F29" s="3">
        <v>1144393</v>
      </c>
      <c r="G29" s="3">
        <v>465828</v>
      </c>
      <c r="H29" s="3">
        <v>1134093</v>
      </c>
      <c r="I29" s="3">
        <v>52.5</v>
      </c>
      <c r="J29" s="3">
        <v>67.099999999999994</v>
      </c>
      <c r="K29" s="3">
        <v>38.200000000000003</v>
      </c>
      <c r="L29" s="3">
        <v>346257</v>
      </c>
    </row>
    <row r="30" spans="1:12">
      <c r="A30" s="2">
        <v>45689</v>
      </c>
      <c r="B30" s="3">
        <v>9520122</v>
      </c>
      <c r="C30" s="3">
        <v>3649946</v>
      </c>
      <c r="D30" s="3">
        <v>0.38339279612913679</v>
      </c>
      <c r="E30" s="3">
        <v>805942</v>
      </c>
      <c r="F30" s="3">
        <v>1151955</v>
      </c>
      <c r="G30" s="3">
        <v>493438</v>
      </c>
      <c r="H30" s="3">
        <v>1198611</v>
      </c>
      <c r="I30" s="3">
        <v>51.6</v>
      </c>
      <c r="J30" s="3">
        <v>67.2</v>
      </c>
      <c r="K30" s="3">
        <v>36.4</v>
      </c>
      <c r="L30" s="3">
        <v>383416</v>
      </c>
    </row>
    <row r="31" spans="1:12">
      <c r="A31" s="2">
        <v>45717</v>
      </c>
      <c r="B31" s="3">
        <v>10557016</v>
      </c>
      <c r="C31" s="3">
        <v>3973032</v>
      </c>
      <c r="D31" s="3">
        <v>0.37634040139985508</v>
      </c>
      <c r="E31" s="3">
        <v>914631</v>
      </c>
      <c r="F31" s="3">
        <v>1357923</v>
      </c>
      <c r="G31" s="3">
        <v>605874</v>
      </c>
      <c r="H31" s="3">
        <v>1094604</v>
      </c>
      <c r="I31" s="3">
        <v>51.5</v>
      </c>
      <c r="J31" s="3">
        <v>67.7</v>
      </c>
      <c r="K31" s="3">
        <v>38</v>
      </c>
      <c r="L31" s="3">
        <v>427936</v>
      </c>
    </row>
    <row r="32" spans="1:12">
      <c r="A32" s="2">
        <v>45748</v>
      </c>
      <c r="B32" s="3">
        <v>10780212</v>
      </c>
      <c r="C32" s="3">
        <v>4067984</v>
      </c>
      <c r="D32" s="3">
        <v>0.37735657841346482</v>
      </c>
      <c r="E32" s="3">
        <v>866171</v>
      </c>
      <c r="F32" s="3">
        <v>1311435</v>
      </c>
      <c r="G32" s="3">
        <v>526262</v>
      </c>
      <c r="H32" s="3">
        <v>1364116</v>
      </c>
      <c r="I32" s="3">
        <v>52.6</v>
      </c>
      <c r="J32" s="3">
        <v>68.900000000000006</v>
      </c>
      <c r="K32" s="3">
        <v>39.1</v>
      </c>
      <c r="L32" s="3">
        <v>466681</v>
      </c>
    </row>
    <row r="33" spans="1:12">
      <c r="A33" s="2">
        <v>45778</v>
      </c>
      <c r="B33" s="3">
        <v>10724108</v>
      </c>
      <c r="C33" s="3">
        <v>4003773</v>
      </c>
      <c r="D33" s="3">
        <v>0.37334319861355131</v>
      </c>
      <c r="E33" s="3">
        <v>808497</v>
      </c>
      <c r="F33" s="3">
        <v>1283915</v>
      </c>
      <c r="G33" s="3">
        <v>610371</v>
      </c>
      <c r="H33" s="3">
        <v>1300990</v>
      </c>
      <c r="I33" s="3">
        <v>53.5</v>
      </c>
      <c r="J33" s="3">
        <v>69.2</v>
      </c>
      <c r="K33" s="3">
        <v>37.4</v>
      </c>
      <c r="L33" s="3">
        <v>542588</v>
      </c>
    </row>
    <row r="34" spans="1:12">
      <c r="A34" s="2">
        <v>45809</v>
      </c>
      <c r="B34" s="3">
        <v>11013176</v>
      </c>
      <c r="C34" s="3">
        <v>4200155</v>
      </c>
      <c r="D34" s="3">
        <v>0.38137547360828122</v>
      </c>
      <c r="E34" s="3">
        <v>941158</v>
      </c>
      <c r="F34" s="3">
        <v>1442136</v>
      </c>
      <c r="G34" s="3">
        <v>573884</v>
      </c>
      <c r="H34" s="3">
        <v>1242977</v>
      </c>
      <c r="I34" s="3">
        <v>52.2</v>
      </c>
      <c r="J34" s="3">
        <v>67.5</v>
      </c>
      <c r="K34" s="3">
        <v>39.9</v>
      </c>
      <c r="L34" s="3">
        <v>578941</v>
      </c>
    </row>
    <row r="35" spans="1:12">
      <c r="A35" s="2">
        <v>45839</v>
      </c>
      <c r="B35" s="3">
        <v>10255610</v>
      </c>
      <c r="C35" s="3">
        <v>3935906</v>
      </c>
      <c r="D35" s="3">
        <v>0.38378081232324379</v>
      </c>
      <c r="E35" s="3">
        <v>887970</v>
      </c>
      <c r="F35" s="3">
        <v>1342790</v>
      </c>
      <c r="G35" s="3">
        <v>544138</v>
      </c>
      <c r="H35" s="3">
        <v>1161008</v>
      </c>
      <c r="I35" s="3">
        <v>55.4</v>
      </c>
      <c r="J35" s="3">
        <v>67.2</v>
      </c>
      <c r="K35" s="3">
        <v>38.9</v>
      </c>
      <c r="L35" s="3">
        <v>448527</v>
      </c>
    </row>
    <row r="36" spans="1:12">
      <c r="A36" s="2">
        <v>45870</v>
      </c>
      <c r="B36" s="3">
        <v>10195762</v>
      </c>
      <c r="C36" s="3">
        <v>3876682</v>
      </c>
      <c r="D36" s="3">
        <v>0.38022481001979691</v>
      </c>
      <c r="E36" s="3">
        <v>814870</v>
      </c>
      <c r="F36" s="3">
        <v>1339886</v>
      </c>
      <c r="G36" s="3">
        <v>595412</v>
      </c>
      <c r="H36" s="3">
        <v>1126514</v>
      </c>
      <c r="I36" s="3">
        <v>52.3</v>
      </c>
      <c r="J36" s="3">
        <v>69</v>
      </c>
      <c r="K36" s="3">
        <v>37.299999999999997</v>
      </c>
      <c r="L36" s="3">
        <v>540979</v>
      </c>
    </row>
    <row r="37" spans="1:12">
      <c r="A37" s="2">
        <v>45901</v>
      </c>
      <c r="B37" s="3">
        <v>11412446</v>
      </c>
      <c r="C37" s="3">
        <v>4264600</v>
      </c>
      <c r="D37" s="3">
        <v>0.37367974147766209</v>
      </c>
      <c r="E37" s="3">
        <v>964747</v>
      </c>
      <c r="F37" s="3">
        <v>1461974</v>
      </c>
      <c r="G37" s="3">
        <v>564503</v>
      </c>
      <c r="H37" s="3">
        <v>1273376</v>
      </c>
      <c r="I37" s="3">
        <v>54.5</v>
      </c>
      <c r="J37" s="3">
        <v>66.599999999999994</v>
      </c>
      <c r="K37" s="3">
        <v>36.5</v>
      </c>
      <c r="L37" s="3">
        <v>480245</v>
      </c>
    </row>
    <row r="38" spans="1:12">
      <c r="A38" s="2">
        <v>45931</v>
      </c>
      <c r="B38" s="3">
        <v>11991351</v>
      </c>
      <c r="C38" s="3">
        <v>4530246</v>
      </c>
      <c r="D38" s="3">
        <v>0.37779279741075528</v>
      </c>
      <c r="E38" s="3">
        <v>905221</v>
      </c>
      <c r="F38" s="3">
        <v>1512035</v>
      </c>
      <c r="G38" s="3">
        <v>631076</v>
      </c>
      <c r="H38" s="3">
        <v>1481914</v>
      </c>
      <c r="I38" s="3">
        <v>53.8</v>
      </c>
      <c r="J38" s="3">
        <v>67.2</v>
      </c>
      <c r="K38" s="3">
        <v>37.700000000000003</v>
      </c>
      <c r="L38" s="3">
        <v>472355</v>
      </c>
    </row>
    <row r="39" spans="1:12">
      <c r="A39" s="2">
        <v>45962</v>
      </c>
      <c r="B39" s="3">
        <v>12300456</v>
      </c>
      <c r="C39" s="3">
        <v>4613739</v>
      </c>
      <c r="D39" s="3">
        <v>0.37508683302741258</v>
      </c>
      <c r="E39" s="3">
        <v>1060872</v>
      </c>
      <c r="F39" s="3">
        <v>1612409</v>
      </c>
      <c r="G39" s="3">
        <v>699758</v>
      </c>
      <c r="H39" s="3">
        <v>1240700</v>
      </c>
      <c r="I39" s="3">
        <v>54.1</v>
      </c>
      <c r="J39" s="3">
        <v>67.5</v>
      </c>
      <c r="K39" s="3">
        <v>36.6</v>
      </c>
      <c r="L39" s="3">
        <v>436263</v>
      </c>
    </row>
    <row r="40" spans="1:12">
      <c r="A40" s="2">
        <v>45992</v>
      </c>
      <c r="B40" s="3">
        <v>13028098</v>
      </c>
      <c r="C40" s="3">
        <v>4861584</v>
      </c>
      <c r="D40" s="3">
        <v>0.37316149275516042</v>
      </c>
      <c r="E40" s="3">
        <v>1035537</v>
      </c>
      <c r="F40" s="3">
        <v>1594723</v>
      </c>
      <c r="G40" s="3">
        <v>785268</v>
      </c>
      <c r="H40" s="3">
        <v>1446056</v>
      </c>
      <c r="I40" s="3">
        <v>55.1</v>
      </c>
      <c r="J40" s="3">
        <v>70</v>
      </c>
      <c r="K40" s="3">
        <v>38.200000000000003</v>
      </c>
      <c r="L40" s="3">
        <v>625404</v>
      </c>
    </row>
  </sheetData>
  <mergeCells count="2">
    <mergeCell ref="A2:L2"/>
    <mergeCell ref="A1:L1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24" customWidth="1"/>
    <col min="2" max="4" width="15" customWidth="1"/>
    <col min="5" max="5" width="20" customWidth="1"/>
  </cols>
  <sheetData>
    <row r="1" spans="1:5" ht="27.95" customHeight="1">
      <c r="A1" s="6" t="s">
        <v>14</v>
      </c>
      <c r="B1" s="36"/>
      <c r="C1" s="36"/>
      <c r="D1" s="36"/>
      <c r="E1" s="36"/>
    </row>
    <row r="2" spans="1:5">
      <c r="A2" s="5" t="s">
        <v>15</v>
      </c>
      <c r="B2" s="36"/>
      <c r="C2" s="36"/>
      <c r="D2" s="36"/>
      <c r="E2" s="36"/>
    </row>
    <row r="4" spans="1:5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</row>
    <row r="5" spans="1:5">
      <c r="A5" s="4" t="s">
        <v>21</v>
      </c>
      <c r="B5" s="3">
        <v>7.0000000000000007E-2</v>
      </c>
      <c r="C5" s="3">
        <v>-0.03</v>
      </c>
      <c r="D5" s="3">
        <v>0.12</v>
      </c>
      <c r="E5" s="4" t="s">
        <v>22</v>
      </c>
    </row>
    <row r="6" spans="1:5">
      <c r="A6" s="4" t="s">
        <v>23</v>
      </c>
      <c r="B6" s="3">
        <v>0.38</v>
      </c>
      <c r="C6" s="3">
        <v>0.34</v>
      </c>
      <c r="D6" s="3">
        <v>0.41</v>
      </c>
      <c r="E6" s="4" t="s">
        <v>24</v>
      </c>
    </row>
    <row r="7" spans="1:5">
      <c r="A7" s="4" t="s">
        <v>25</v>
      </c>
      <c r="B7" s="3">
        <v>0.26</v>
      </c>
      <c r="C7" s="3">
        <v>0.28000000000000003</v>
      </c>
      <c r="D7" s="3">
        <v>0.25</v>
      </c>
      <c r="E7" s="4" t="s">
        <v>24</v>
      </c>
    </row>
    <row r="8" spans="1:5">
      <c r="A8" s="4" t="s">
        <v>10</v>
      </c>
      <c r="B8" s="3">
        <v>57</v>
      </c>
      <c r="C8" s="3">
        <v>68</v>
      </c>
      <c r="D8" s="3">
        <v>50</v>
      </c>
      <c r="E8" s="4" t="s">
        <v>26</v>
      </c>
    </row>
    <row r="9" spans="1:5">
      <c r="A9" s="4" t="s">
        <v>27</v>
      </c>
      <c r="B9" s="3">
        <v>70</v>
      </c>
      <c r="C9" s="3">
        <v>82</v>
      </c>
      <c r="D9" s="3">
        <v>62</v>
      </c>
      <c r="E9" s="4" t="s">
        <v>26</v>
      </c>
    </row>
    <row r="10" spans="1:5">
      <c r="A10" s="4" t="s">
        <v>28</v>
      </c>
      <c r="B10" s="3">
        <v>39</v>
      </c>
      <c r="C10" s="3">
        <v>36</v>
      </c>
      <c r="D10" s="3">
        <v>43</v>
      </c>
      <c r="E10" s="4" t="s">
        <v>26</v>
      </c>
    </row>
    <row r="11" spans="1:5">
      <c r="A11" s="4" t="s">
        <v>13</v>
      </c>
      <c r="B11" s="3">
        <v>4.4999999999999998E-2</v>
      </c>
      <c r="C11" s="3">
        <v>3.5000000000000003E-2</v>
      </c>
      <c r="D11" s="3">
        <v>0.06</v>
      </c>
      <c r="E11" s="4" t="s">
        <v>24</v>
      </c>
    </row>
    <row r="12" spans="1:5">
      <c r="A12" s="4" t="s">
        <v>29</v>
      </c>
      <c r="B12" s="3">
        <v>0.25</v>
      </c>
      <c r="C12" s="3">
        <v>0.25</v>
      </c>
      <c r="D12" s="3">
        <v>0.25</v>
      </c>
      <c r="E12" s="4" t="s">
        <v>30</v>
      </c>
    </row>
    <row r="13" spans="1:5">
      <c r="A13" s="4" t="s">
        <v>31</v>
      </c>
      <c r="B13" s="3">
        <v>1.2E-2</v>
      </c>
      <c r="C13" s="3">
        <v>1.2E-2</v>
      </c>
      <c r="D13" s="3">
        <v>1.2E-2</v>
      </c>
      <c r="E13" s="4" t="s">
        <v>30</v>
      </c>
    </row>
  </sheetData>
  <mergeCells count="2">
    <mergeCell ref="A2:E2"/>
    <mergeCell ref="A1:E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27" customWidth="1"/>
    <col min="2" max="2" width="95" customWidth="1"/>
  </cols>
  <sheetData>
    <row r="1" spans="1:2" ht="27.95" customHeight="1">
      <c r="A1" s="6" t="s">
        <v>32</v>
      </c>
      <c r="B1" s="36"/>
    </row>
    <row r="2" spans="1:2">
      <c r="A2" s="5" t="s">
        <v>33</v>
      </c>
      <c r="B2" s="36"/>
    </row>
    <row r="4" spans="1:2">
      <c r="A4" s="1" t="s">
        <v>34</v>
      </c>
      <c r="B4" s="1" t="s">
        <v>35</v>
      </c>
    </row>
    <row r="5" spans="1:2">
      <c r="A5" s="4" t="s">
        <v>36</v>
      </c>
      <c r="B5" s="4" t="s">
        <v>37</v>
      </c>
    </row>
    <row r="6" spans="1:2">
      <c r="A6" s="4" t="s">
        <v>38</v>
      </c>
      <c r="B6" s="4" t="s">
        <v>39</v>
      </c>
    </row>
    <row r="7" spans="1:2">
      <c r="A7" s="4" t="s">
        <v>40</v>
      </c>
      <c r="B7" s="4" t="s">
        <v>41</v>
      </c>
    </row>
  </sheetData>
  <mergeCells count="2">
    <mergeCell ref="A2:B2"/>
    <mergeCell ref="A1:B1"/>
  </mergeCells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62"/>
  <sheetViews>
    <sheetView showGridLines="0" workbookViewId="0">
      <selection sqref="A1:S1"/>
    </sheetView>
  </sheetViews>
  <sheetFormatPr defaultRowHeight="15"/>
  <cols>
    <col min="1" max="1" width="17.140625" customWidth="1"/>
    <col min="2" max="7" width="16.140625" customWidth="1"/>
    <col min="8" max="8" width="24.7109375" customWidth="1"/>
    <col min="9" max="19" width="16.140625" customWidth="1"/>
  </cols>
  <sheetData>
    <row r="1" spans="1:19" ht="18.75">
      <c r="A1" s="7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>
      <c r="A2" s="37" t="s">
        <v>43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>
      <c r="A3" s="38" t="s">
        <v>44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19">
      <c r="B4" s="8" t="s">
        <v>45</v>
      </c>
      <c r="C4" s="8"/>
      <c r="D4" s="8"/>
      <c r="E4" s="8"/>
      <c r="F4" s="8"/>
      <c r="G4" s="8"/>
      <c r="H4" s="9" t="s">
        <v>46</v>
      </c>
      <c r="I4" s="9"/>
      <c r="J4" s="9"/>
      <c r="K4" s="9"/>
      <c r="L4" s="9"/>
      <c r="M4" s="9"/>
      <c r="N4" s="10" t="s">
        <v>47</v>
      </c>
      <c r="O4" s="10"/>
      <c r="P4" s="10"/>
      <c r="Q4" s="10"/>
      <c r="R4" s="10"/>
      <c r="S4" s="10"/>
    </row>
    <row r="5" spans="1:19" ht="35.25" customHeight="1">
      <c r="A5" s="12" t="s">
        <v>2</v>
      </c>
      <c r="B5" s="12" t="s">
        <v>3</v>
      </c>
      <c r="C5" s="12" t="s">
        <v>4</v>
      </c>
      <c r="D5" s="12" t="s">
        <v>5</v>
      </c>
      <c r="E5" s="12" t="s">
        <v>48</v>
      </c>
      <c r="F5" s="12" t="s">
        <v>9</v>
      </c>
      <c r="G5" s="12" t="s">
        <v>49</v>
      </c>
      <c r="H5" s="12" t="s">
        <v>3</v>
      </c>
      <c r="I5" s="12" t="s">
        <v>4</v>
      </c>
      <c r="J5" s="12" t="s">
        <v>5</v>
      </c>
      <c r="K5" s="12" t="s">
        <v>48</v>
      </c>
      <c r="L5" s="12" t="s">
        <v>9</v>
      </c>
      <c r="M5" s="12" t="s">
        <v>49</v>
      </c>
      <c r="N5" s="12" t="s">
        <v>3</v>
      </c>
      <c r="O5" s="12" t="s">
        <v>4</v>
      </c>
      <c r="P5" s="12" t="s">
        <v>5</v>
      </c>
      <c r="Q5" s="12" t="s">
        <v>48</v>
      </c>
      <c r="R5" s="12" t="s">
        <v>9</v>
      </c>
      <c r="S5" s="12" t="s">
        <v>49</v>
      </c>
    </row>
    <row r="6" spans="1:19">
      <c r="A6" s="13">
        <f>DATE(2026,1,1)</f>
        <v>46023</v>
      </c>
      <c r="B6" s="14">
        <f>Gerçekleşen!B40*(1+Varsayımlar!B5)^(1/12)</f>
        <v>13101760.760213364</v>
      </c>
      <c r="C6" s="14">
        <f>B6*Varsayımlar!$B$6</f>
        <v>4978669.0888810782</v>
      </c>
      <c r="D6" s="15">
        <f>C6/B6</f>
        <v>0.38</v>
      </c>
      <c r="E6" s="14">
        <f>B6*Varsayımlar!$B$7</f>
        <v>3406457.7976554749</v>
      </c>
      <c r="F6" s="14">
        <f>C6-E6</f>
        <v>1572211.2912256033</v>
      </c>
      <c r="G6" s="15">
        <f>F6/B6</f>
        <v>0.11999999999999997</v>
      </c>
      <c r="H6" s="14">
        <f>Gerçekleşen!B40*(1+Varsayımlar!C5)^(1/12)</f>
        <v>12995071.138224171</v>
      </c>
      <c r="I6" s="14">
        <f>H6*Varsayımlar!$C$6</f>
        <v>4418324.1869962187</v>
      </c>
      <c r="J6" s="15">
        <f>I6/H6</f>
        <v>0.34</v>
      </c>
      <c r="K6" s="14">
        <f>H6*Varsayımlar!$C$7</f>
        <v>3638619.9187027682</v>
      </c>
      <c r="L6" s="14">
        <f>I6-K6</f>
        <v>779704.26829345059</v>
      </c>
      <c r="M6" s="15">
        <f>L6/H6</f>
        <v>6.0000000000000026E-2</v>
      </c>
      <c r="N6" s="14">
        <f>Gerçekleşen!B40*(1+Varsayımlar!D5)^(1/12)</f>
        <v>13151718.924253456</v>
      </c>
      <c r="O6" s="14">
        <f>N6*Varsayımlar!$D$6</f>
        <v>5392204.7589439163</v>
      </c>
      <c r="P6" s="15">
        <f>O6/N6</f>
        <v>0.40999999999999992</v>
      </c>
      <c r="Q6" s="14">
        <f>N6*Varsayımlar!$D$7</f>
        <v>3287929.7310633641</v>
      </c>
      <c r="R6" s="14">
        <f>O6-Q6</f>
        <v>2104275.0278805522</v>
      </c>
      <c r="S6" s="15">
        <f>R6/N6</f>
        <v>0.15999999999999995</v>
      </c>
    </row>
    <row r="7" spans="1:19">
      <c r="A7" s="13">
        <f>DATE(2026,2,1)</f>
        <v>46054</v>
      </c>
      <c r="B7" s="14">
        <f>B6*(1+Varsayımlar!$B$5)^(1/12)</f>
        <v>13175840.020382611</v>
      </c>
      <c r="C7" s="14">
        <f>B7*Varsayımlar!$B$6</f>
        <v>5006819.2077453919</v>
      </c>
      <c r="D7" s="15">
        <f>C7/B7</f>
        <v>0.37999999999999995</v>
      </c>
      <c r="E7" s="14">
        <f>B7*Varsayımlar!$B$7</f>
        <v>3425718.4052994791</v>
      </c>
      <c r="F7" s="14">
        <f>C7-E7</f>
        <v>1581100.8024459127</v>
      </c>
      <c r="G7" s="15">
        <f>F7/B7</f>
        <v>0.11999999999999995</v>
      </c>
      <c r="H7" s="14">
        <f>H6*(1+Varsayımlar!$C$5)^(1/12)</f>
        <v>12962128.001148507</v>
      </c>
      <c r="I7" s="14">
        <f>H7*Varsayımlar!$C$6</f>
        <v>4407123.5203904929</v>
      </c>
      <c r="J7" s="15">
        <f>I7/H7</f>
        <v>0.34</v>
      </c>
      <c r="K7" s="14">
        <f>H7*Varsayımlar!$C$7</f>
        <v>3629395.8403215823</v>
      </c>
      <c r="L7" s="14">
        <f>I7-K7</f>
        <v>777727.68006891059</v>
      </c>
      <c r="M7" s="15">
        <f>L7/H7</f>
        <v>6.0000000000000012E-2</v>
      </c>
      <c r="N7" s="14">
        <f>N6*(1+Varsayımlar!$D$5)^(1/12)</f>
        <v>13276512.861859534</v>
      </c>
      <c r="O7" s="14">
        <f>N7*Varsayımlar!$D$6</f>
        <v>5443370.2733624084</v>
      </c>
      <c r="P7" s="15">
        <f>O7/N7</f>
        <v>0.41</v>
      </c>
      <c r="Q7" s="14">
        <f>N7*Varsayımlar!$D$7</f>
        <v>3319128.2154648835</v>
      </c>
      <c r="R7" s="14">
        <f>O7-Q7</f>
        <v>2124242.0578975249</v>
      </c>
      <c r="S7" s="15">
        <f>R7/N7</f>
        <v>0.15999999999999995</v>
      </c>
    </row>
    <row r="8" spans="1:19">
      <c r="A8" s="13">
        <f>DATE(2026,3,1)</f>
        <v>46082</v>
      </c>
      <c r="B8" s="14">
        <f>B7*(1+Varsayımlar!$B$5)^(1/12)</f>
        <v>13250338.135459047</v>
      </c>
      <c r="C8" s="14">
        <f>B8*Varsayımlar!$B$6</f>
        <v>5035128.4914744375</v>
      </c>
      <c r="D8" s="15">
        <f>C8/B8</f>
        <v>0.38</v>
      </c>
      <c r="E8" s="14">
        <f>B8*Varsayımlar!$B$7</f>
        <v>3445087.9152193521</v>
      </c>
      <c r="F8" s="14">
        <f>C8-E8</f>
        <v>1590040.5762550854</v>
      </c>
      <c r="G8" s="15">
        <f>F8/B8</f>
        <v>0.11999999999999998</v>
      </c>
      <c r="H8" s="14">
        <f>H7*(1+Varsayımlar!$C$5)^(1/12)</f>
        <v>12929268.376526821</v>
      </c>
      <c r="I8" s="14">
        <f>H8*Varsayımlar!$C$6</f>
        <v>4395951.2480191197</v>
      </c>
      <c r="J8" s="15">
        <f>I8/H8</f>
        <v>0.34</v>
      </c>
      <c r="K8" s="14">
        <f>H8*Varsayımlar!$C$7</f>
        <v>3620195.1454275101</v>
      </c>
      <c r="L8" s="14">
        <f>I8-K8</f>
        <v>775756.10259160958</v>
      </c>
      <c r="M8" s="15">
        <f>L8/H8</f>
        <v>6.0000000000000026E-2</v>
      </c>
      <c r="N8" s="14">
        <f>N7*(1+Varsayımlar!$D$5)^(1/12)</f>
        <v>13402490.943299048</v>
      </c>
      <c r="O8" s="14">
        <f>N8*Varsayımlar!$D$6</f>
        <v>5495021.2867526095</v>
      </c>
      <c r="P8" s="15">
        <f>O8/N8</f>
        <v>0.41</v>
      </c>
      <c r="Q8" s="14">
        <f>N8*Varsayımlar!$D$7</f>
        <v>3350622.7358247619</v>
      </c>
      <c r="R8" s="14">
        <f>O8-Q8</f>
        <v>2144398.5509278476</v>
      </c>
      <c r="S8" s="15">
        <f>R8/N8</f>
        <v>0.16</v>
      </c>
    </row>
    <row r="9" spans="1:19">
      <c r="A9" s="13">
        <f>DATE(2026,4,1)</f>
        <v>46113</v>
      </c>
      <c r="B9" s="14">
        <f>B8*(1+Varsayımlar!$B$5)^(1/12)</f>
        <v>13325257.473709213</v>
      </c>
      <c r="C9" s="14">
        <f>B9*Varsayımlar!$B$6</f>
        <v>5063597.8400095012</v>
      </c>
      <c r="D9" s="15">
        <f>C9/B9</f>
        <v>0.38</v>
      </c>
      <c r="E9" s="14">
        <f>B9*Varsayımlar!$B$7</f>
        <v>3464566.9431643952</v>
      </c>
      <c r="F9" s="14">
        <f>C9-E9</f>
        <v>1599030.896845106</v>
      </c>
      <c r="G9" s="15">
        <f>F9/B9</f>
        <v>0.12000000000000004</v>
      </c>
      <c r="H9" s="14">
        <f>H8*(1+Varsayımlar!$C$5)^(1/12)</f>
        <v>12896492.052650984</v>
      </c>
      <c r="I9" s="14">
        <f>H9*Varsayımlar!$C$6</f>
        <v>4384807.2979013352</v>
      </c>
      <c r="J9" s="15">
        <f>I9/H9</f>
        <v>0.34</v>
      </c>
      <c r="K9" s="14">
        <f>H9*Varsayımlar!$C$7</f>
        <v>3611017.7747422759</v>
      </c>
      <c r="L9" s="14">
        <f>I9-K9</f>
        <v>773789.52315905923</v>
      </c>
      <c r="M9" s="15">
        <f>L9/H9</f>
        <v>6.0000000000000012E-2</v>
      </c>
      <c r="N9" s="14">
        <f>N8*(1+Varsayımlar!$D$5)^(1/12)</f>
        <v>13529664.404667636</v>
      </c>
      <c r="O9" s="14">
        <f>N9*Varsayımlar!$D$6</f>
        <v>5547162.4059137302</v>
      </c>
      <c r="P9" s="15">
        <f>O9/N9</f>
        <v>0.40999999999999992</v>
      </c>
      <c r="Q9" s="14">
        <f>N9*Varsayımlar!$D$7</f>
        <v>3382416.1011669091</v>
      </c>
      <c r="R9" s="14">
        <f>O9-Q9</f>
        <v>2164746.3047468211</v>
      </c>
      <c r="S9" s="15">
        <f>R9/N9</f>
        <v>0.15999999999999995</v>
      </c>
    </row>
    <row r="10" spans="1:19">
      <c r="A10" s="13">
        <f>DATE(2026,5,1)</f>
        <v>46143</v>
      </c>
      <c r="B10" s="14">
        <f>B9*(1+Varsayımlar!$B$5)^(1/12)</f>
        <v>13400600.416790172</v>
      </c>
      <c r="C10" s="14">
        <f>B10*Varsayımlar!$B$6</f>
        <v>5092228.1583802653</v>
      </c>
      <c r="D10" s="15">
        <f>C10/B10</f>
        <v>0.38</v>
      </c>
      <c r="E10" s="14">
        <f>B10*Varsayımlar!$B$7</f>
        <v>3484156.1083654449</v>
      </c>
      <c r="F10" s="14">
        <f>C10-E10</f>
        <v>1608072.0500148204</v>
      </c>
      <c r="G10" s="15">
        <f>F10/B10</f>
        <v>0.11999999999999998</v>
      </c>
      <c r="H10" s="14">
        <f>H9*(1+Varsayımlar!$C$5)^(1/12)</f>
        <v>12863798.818349555</v>
      </c>
      <c r="I10" s="14">
        <f>H10*Varsayımlar!$C$6</f>
        <v>4373691.5982388491</v>
      </c>
      <c r="J10" s="15">
        <f>I10/H10</f>
        <v>0.34</v>
      </c>
      <c r="K10" s="14">
        <f>H10*Varsayımlar!$C$7</f>
        <v>3601863.6691378755</v>
      </c>
      <c r="L10" s="14">
        <f>I10-K10</f>
        <v>771827.92910097353</v>
      </c>
      <c r="M10" s="15">
        <f>L10/H10</f>
        <v>6.0000000000000019E-2</v>
      </c>
      <c r="N10" s="14">
        <f>N9*(1+Varsayımlar!$D$5)^(1/12)</f>
        <v>13658044.588677926</v>
      </c>
      <c r="O10" s="14">
        <f>N10*Varsayımlar!$D$6</f>
        <v>5599798.2813579496</v>
      </c>
      <c r="P10" s="15">
        <f>O10/N10</f>
        <v>0.41</v>
      </c>
      <c r="Q10" s="14">
        <f>N10*Varsayımlar!$D$7</f>
        <v>3414511.1471694815</v>
      </c>
      <c r="R10" s="14">
        <f>O10-Q10</f>
        <v>2185287.1341884681</v>
      </c>
      <c r="S10" s="15">
        <f>R10/N10</f>
        <v>0.16</v>
      </c>
    </row>
    <row r="11" spans="1:19">
      <c r="A11" s="13">
        <f>DATE(2026,6,1)</f>
        <v>46174</v>
      </c>
      <c r="B11" s="14">
        <f>B10*(1+Varsayımlar!$B$5)^(1/12)</f>
        <v>13476369.359825227</v>
      </c>
      <c r="C11" s="14">
        <f>B11*Varsayımlar!$B$6</f>
        <v>5121020.3567335866</v>
      </c>
      <c r="D11" s="15">
        <f>C11/B11</f>
        <v>0.38</v>
      </c>
      <c r="E11" s="14">
        <f>B11*Varsayımlar!$B$7</f>
        <v>3503856.0335545591</v>
      </c>
      <c r="F11" s="14">
        <f>C11-E11</f>
        <v>1617164.3231790275</v>
      </c>
      <c r="G11" s="15">
        <f>F11/B11</f>
        <v>0.12000000000000002</v>
      </c>
      <c r="H11" s="14">
        <f>H10*(1+Varsayımlar!$C$5)^(1/12)</f>
        <v>12831188.462986425</v>
      </c>
      <c r="I11" s="14">
        <f>H11*Varsayımlar!$C$6</f>
        <v>4362604.0774153844</v>
      </c>
      <c r="J11" s="15">
        <f>I11/H11</f>
        <v>0.34</v>
      </c>
      <c r="K11" s="14">
        <f>H11*Varsayımlar!$C$7</f>
        <v>3592732.7696361993</v>
      </c>
      <c r="L11" s="14">
        <f>I11-K11</f>
        <v>769871.30777918501</v>
      </c>
      <c r="M11" s="15">
        <f>L11/H11</f>
        <v>5.9999999999999963E-2</v>
      </c>
      <c r="N11" s="14">
        <f>N10*(1+Varsayımlar!$D$5)^(1/12)</f>
        <v>13787642.945671193</v>
      </c>
      <c r="O11" s="14">
        <f>N11*Varsayımlar!$D$6</f>
        <v>5652933.6077251891</v>
      </c>
      <c r="P11" s="15">
        <f>O11/N11</f>
        <v>0.41</v>
      </c>
      <c r="Q11" s="14">
        <f>N11*Varsayımlar!$D$7</f>
        <v>3446910.7364177983</v>
      </c>
      <c r="R11" s="14">
        <f>O11-Q11</f>
        <v>2206022.8713073907</v>
      </c>
      <c r="S11" s="15">
        <f>R11/N11</f>
        <v>0.15999999999999998</v>
      </c>
    </row>
    <row r="12" spans="1:19">
      <c r="A12" s="13">
        <f>DATE(2026,7,1)</f>
        <v>46204</v>
      </c>
      <c r="B12" s="14">
        <f>B11*(1+Varsayımlar!$B$5)^(1/12)</f>
        <v>13552566.711480053</v>
      </c>
      <c r="C12" s="14">
        <f>B12*Varsayımlar!$B$6</f>
        <v>5149975.3503624201</v>
      </c>
      <c r="D12" s="15">
        <f>C12/B12</f>
        <v>0.38</v>
      </c>
      <c r="E12" s="14">
        <f>B12*Varsayımlar!$B$7</f>
        <v>3523667.3449848141</v>
      </c>
      <c r="F12" s="14">
        <f>C12-E12</f>
        <v>1626308.005377606</v>
      </c>
      <c r="G12" s="15">
        <f>F12/B12</f>
        <v>0.11999999999999997</v>
      </c>
      <c r="H12" s="14">
        <f>H11*(1+Varsayımlar!$C$5)^(1/12)</f>
        <v>12798660.776459454</v>
      </c>
      <c r="I12" s="14">
        <f>H12*Varsayımlar!$C$6</f>
        <v>4351544.663996215</v>
      </c>
      <c r="J12" s="15">
        <f>I12/H12</f>
        <v>0.34000000000000008</v>
      </c>
      <c r="K12" s="14">
        <f>H12*Varsayımlar!$C$7</f>
        <v>3583625.0174086476</v>
      </c>
      <c r="L12" s="14">
        <f>I12-K12</f>
        <v>767919.6465875674</v>
      </c>
      <c r="M12" s="15">
        <f>L12/H12</f>
        <v>6.0000000000000012E-2</v>
      </c>
      <c r="N12" s="14">
        <f>N11*(1+Varsayımlar!$D$5)^(1/12)</f>
        <v>13918471.034638632</v>
      </c>
      <c r="O12" s="14">
        <f>N12*Varsayımlar!$D$6</f>
        <v>5706573.1242018389</v>
      </c>
      <c r="P12" s="15">
        <f>O12/N12</f>
        <v>0.41</v>
      </c>
      <c r="Q12" s="14">
        <f>N12*Varsayımlar!$D$7</f>
        <v>3479617.758659658</v>
      </c>
      <c r="R12" s="14">
        <f>O12-Q12</f>
        <v>2226955.3655421808</v>
      </c>
      <c r="S12" s="15">
        <f>R12/N12</f>
        <v>0.15999999999999998</v>
      </c>
    </row>
    <row r="13" spans="1:19">
      <c r="A13" s="13">
        <f>DATE(2026,8,1)</f>
        <v>46235</v>
      </c>
      <c r="B13" s="14">
        <f>B12*(1+Varsayımlar!$B$5)^(1/12)</f>
        <v>13629194.89403927</v>
      </c>
      <c r="C13" s="14">
        <f>B13*Varsayımlar!$B$6</f>
        <v>5179094.0597349228</v>
      </c>
      <c r="D13" s="15">
        <f>C13/B13</f>
        <v>0.38</v>
      </c>
      <c r="E13" s="14">
        <f>B13*Varsayımlar!$B$7</f>
        <v>3543590.67245021</v>
      </c>
      <c r="F13" s="14">
        <f>C13-E13</f>
        <v>1635503.3872847129</v>
      </c>
      <c r="G13" s="15">
        <f>F13/B13</f>
        <v>0.12000000000000004</v>
      </c>
      <c r="H13" s="14">
        <f>H12*(1+Varsayımlar!$C$5)^(1/12)</f>
        <v>12766215.549199125</v>
      </c>
      <c r="I13" s="14">
        <f>H13*Varsayımlar!$C$6</f>
        <v>4340513.2867277032</v>
      </c>
      <c r="J13" s="15">
        <f>I13/H13</f>
        <v>0.34000000000000008</v>
      </c>
      <c r="K13" s="14">
        <f>H13*Varsayımlar!$C$7</f>
        <v>3574540.3537757555</v>
      </c>
      <c r="L13" s="14">
        <f>I13-K13</f>
        <v>765972.93295194767</v>
      </c>
      <c r="M13" s="15">
        <f>L13/H13</f>
        <v>6.0000000000000012E-2</v>
      </c>
      <c r="N13" s="14">
        <f>N12*(1+Varsayımlar!$D$5)^(1/12)</f>
        <v>14050540.52425231</v>
      </c>
      <c r="O13" s="14">
        <f>N13*Varsayımlar!$D$6</f>
        <v>5760721.6149434466</v>
      </c>
      <c r="P13" s="15">
        <f>O13/N13</f>
        <v>0.41</v>
      </c>
      <c r="Q13" s="14">
        <f>N13*Varsayımlar!$D$7</f>
        <v>3512635.1310630776</v>
      </c>
      <c r="R13" s="14">
        <f>O13-Q13</f>
        <v>2248086.483880369</v>
      </c>
      <c r="S13" s="15">
        <f>R13/N13</f>
        <v>0.15999999999999995</v>
      </c>
    </row>
    <row r="14" spans="1:19">
      <c r="A14" s="13">
        <f>DATE(2026,9,1)</f>
        <v>46266</v>
      </c>
      <c r="B14" s="14">
        <f>B13*(1+Varsayımlar!$B$5)^(1/12)</f>
        <v>13706256.34348345</v>
      </c>
      <c r="C14" s="14">
        <f>B14*Varsayımlar!$B$6</f>
        <v>5208377.4105237108</v>
      </c>
      <c r="D14" s="15">
        <f>C14/B14</f>
        <v>0.38</v>
      </c>
      <c r="E14" s="14">
        <f>B14*Varsayımlar!$B$7</f>
        <v>3563626.6493056971</v>
      </c>
      <c r="F14" s="14">
        <f>C14-E14</f>
        <v>1644750.7612180137</v>
      </c>
      <c r="G14" s="15">
        <f>F14/B14</f>
        <v>0.11999999999999998</v>
      </c>
      <c r="H14" s="14">
        <f>H13*(1+Varsayımlar!$C$5)^(1/12)</f>
        <v>12733852.572167188</v>
      </c>
      <c r="I14" s="14">
        <f>H14*Varsayımlar!$C$6</f>
        <v>4329509.874536844</v>
      </c>
      <c r="J14" s="15">
        <f>I14/H14</f>
        <v>0.34</v>
      </c>
      <c r="K14" s="14">
        <f>H14*Varsayımlar!$C$7</f>
        <v>3565478.720206813</v>
      </c>
      <c r="L14" s="14">
        <f>I14-K14</f>
        <v>764031.15433003101</v>
      </c>
      <c r="M14" s="15">
        <f>L14/H14</f>
        <v>5.9999999999999977E-2</v>
      </c>
      <c r="N14" s="14">
        <f>N13*(1+Varsayımlar!$D$5)^(1/12)</f>
        <v>14183863.193905909</v>
      </c>
      <c r="O14" s="14">
        <f>N14*Varsayımlar!$D$6</f>
        <v>5815383.9095014222</v>
      </c>
      <c r="P14" s="15">
        <f>O14/N14</f>
        <v>0.41</v>
      </c>
      <c r="Q14" s="14">
        <f>N14*Varsayımlar!$D$7</f>
        <v>3545965.7984764772</v>
      </c>
      <c r="R14" s="14">
        <f>O14-Q14</f>
        <v>2269418.111024945</v>
      </c>
      <c r="S14" s="15">
        <f>R14/N14</f>
        <v>0.15999999999999998</v>
      </c>
    </row>
    <row r="15" spans="1:19">
      <c r="A15" s="13">
        <f>DATE(2026,10,1)</f>
        <v>46296</v>
      </c>
      <c r="B15" s="14">
        <f>B14*(1+Varsayımlar!$B$5)^(1/12)</f>
        <v>13783753.509566551</v>
      </c>
      <c r="C15" s="14">
        <f>B15*Varsayımlar!$B$6</f>
        <v>5237826.3336352892</v>
      </c>
      <c r="D15" s="15">
        <f>C15/B15</f>
        <v>0.38</v>
      </c>
      <c r="E15" s="14">
        <f>B15*Varsayımlar!$B$7</f>
        <v>3583775.9124873034</v>
      </c>
      <c r="F15" s="14">
        <f>C15-E15</f>
        <v>1654050.4211479858</v>
      </c>
      <c r="G15" s="15">
        <f>F15/B15</f>
        <v>0.11999999999999998</v>
      </c>
      <c r="H15" s="14">
        <f>H14*(1+Varsayımlar!$C$5)^(1/12)</f>
        <v>12701571.636855315</v>
      </c>
      <c r="I15" s="14">
        <f>H15*Varsayımlar!$C$6</f>
        <v>4318534.3565308079</v>
      </c>
      <c r="J15" s="15">
        <f>I15/H15</f>
        <v>0.34000000000000008</v>
      </c>
      <c r="K15" s="14">
        <f>H15*Varsayımlar!$C$7</f>
        <v>3556440.0583194885</v>
      </c>
      <c r="L15" s="14">
        <f>I15-K15</f>
        <v>762094.29821131937</v>
      </c>
      <c r="M15" s="15">
        <f>L15/H15</f>
        <v>6.0000000000000032E-2</v>
      </c>
      <c r="N15" s="14">
        <f>N14*(1+Varsayımlar!$D$5)^(1/12)</f>
        <v>14318450.934765335</v>
      </c>
      <c r="O15" s="14">
        <f>N15*Varsayımlar!$D$6</f>
        <v>5870564.8832537867</v>
      </c>
      <c r="P15" s="15">
        <f>O15/N15</f>
        <v>0.41</v>
      </c>
      <c r="Q15" s="14">
        <f>N15*Varsayımlar!$D$7</f>
        <v>3579612.7336913338</v>
      </c>
      <c r="R15" s="14">
        <f>O15-Q15</f>
        <v>2290952.1495624529</v>
      </c>
      <c r="S15" s="15">
        <f>R15/N15</f>
        <v>0.15999999999999995</v>
      </c>
    </row>
    <row r="16" spans="1:19">
      <c r="A16" s="13">
        <f>DATE(2026,11,1)</f>
        <v>46327</v>
      </c>
      <c r="B16" s="14">
        <f>B15*(1+Varsayımlar!$B$5)^(1/12)</f>
        <v>13861688.855893798</v>
      </c>
      <c r="C16" s="14">
        <f>B16*Varsayımlar!$B$6</f>
        <v>5267441.7652396429</v>
      </c>
      <c r="D16" s="15">
        <f>C16/B16</f>
        <v>0.37999999999999995</v>
      </c>
      <c r="E16" s="14">
        <f>B16*Varsayımlar!$B$7</f>
        <v>3604039.1025323877</v>
      </c>
      <c r="F16" s="14">
        <f>C16-E16</f>
        <v>1663402.6627072552</v>
      </c>
      <c r="G16" s="15">
        <f>F16/B16</f>
        <v>0.11999999999999995</v>
      </c>
      <c r="H16" s="14">
        <f>H15*(1+Varsayımlar!$C$5)^(1/12)</f>
        <v>12669372.535283757</v>
      </c>
      <c r="I16" s="14">
        <f>H16*Varsayımlar!$C$6</f>
        <v>4307586.6619964782</v>
      </c>
      <c r="J16" s="15">
        <f>I16/H16</f>
        <v>0.34000000000000008</v>
      </c>
      <c r="K16" s="14">
        <f>H16*Varsayımlar!$C$7</f>
        <v>3547424.3098794525</v>
      </c>
      <c r="L16" s="14">
        <f>I16-K16</f>
        <v>760162.35211702576</v>
      </c>
      <c r="M16" s="15">
        <f>L16/H16</f>
        <v>6.0000000000000026E-2</v>
      </c>
      <c r="N16" s="14">
        <f>N15*(1+Varsayımlar!$D$5)^(1/12)</f>
        <v>14454315.750829311</v>
      </c>
      <c r="O16" s="14">
        <f>N16*Varsayımlar!$D$6</f>
        <v>5926269.457840017</v>
      </c>
      <c r="P16" s="15">
        <f>O16/N16</f>
        <v>0.41</v>
      </c>
      <c r="Q16" s="14">
        <f>N16*Varsayımlar!$D$7</f>
        <v>3613578.9377073278</v>
      </c>
      <c r="R16" s="14">
        <f>O16-Q16</f>
        <v>2312690.5201326893</v>
      </c>
      <c r="S16" s="15">
        <f>R16/N16</f>
        <v>0.15999999999999998</v>
      </c>
    </row>
    <row r="17" spans="1:19">
      <c r="A17" s="13">
        <f>DATE(2026,12,1)</f>
        <v>46357</v>
      </c>
      <c r="B17" s="14">
        <f>B16*(1+Varsayımlar!$B$5)^(1/12)</f>
        <v>13940064.859999998</v>
      </c>
      <c r="C17" s="14">
        <f>B17*Varsayımlar!$B$6</f>
        <v>5297224.6467999993</v>
      </c>
      <c r="D17" s="15">
        <f>C17/B17</f>
        <v>0.38</v>
      </c>
      <c r="E17" s="14">
        <f>B17*Varsayımlar!$B$7</f>
        <v>3624416.8635999993</v>
      </c>
      <c r="F17" s="14">
        <f>C17-E17</f>
        <v>1672807.7831999999</v>
      </c>
      <c r="G17" s="15">
        <f>F17/B17</f>
        <v>0.12000000000000002</v>
      </c>
      <c r="H17" s="14">
        <f>H16*(1+Varsayımlar!$C$5)^(1/12)</f>
        <v>12637255.060000006</v>
      </c>
      <c r="I17" s="14">
        <f>H17*Varsayımlar!$C$6</f>
        <v>4296666.7204000028</v>
      </c>
      <c r="J17" s="15">
        <f>I17/H17</f>
        <v>0.34000000000000008</v>
      </c>
      <c r="K17" s="14">
        <f>H17*Varsayımlar!$C$7</f>
        <v>3538431.4168000021</v>
      </c>
      <c r="L17" s="14">
        <f>I17-K17</f>
        <v>758235.30360000068</v>
      </c>
      <c r="M17" s="15">
        <f>L17/H17</f>
        <v>6.0000000000000026E-2</v>
      </c>
      <c r="N17" s="14">
        <f>N16*(1+Varsayımlar!$D$5)^(1/12)</f>
        <v>14591469.760000013</v>
      </c>
      <c r="O17" s="14">
        <f>N17*Varsayımlar!$D$6</f>
        <v>5982502.6016000053</v>
      </c>
      <c r="P17" s="15">
        <f>O17/N17</f>
        <v>0.41</v>
      </c>
      <c r="Q17" s="14">
        <f>N17*Varsayımlar!$D$7</f>
        <v>3647867.4400000032</v>
      </c>
      <c r="R17" s="14">
        <f>O17-Q17</f>
        <v>2334635.1616000021</v>
      </c>
      <c r="S17" s="15">
        <f>R17/N17</f>
        <v>0.16</v>
      </c>
    </row>
    <row r="18" spans="1:19">
      <c r="A18" s="16" t="s">
        <v>50</v>
      </c>
      <c r="B18" s="17">
        <f>SUM(B6:B17)</f>
        <v>162203691.34084272</v>
      </c>
      <c r="C18" s="17">
        <f>SUM(C6:C17)</f>
        <v>61637402.709520251</v>
      </c>
      <c r="D18" s="18">
        <f>C18/B18</f>
        <v>0.38000000000000012</v>
      </c>
      <c r="E18" s="17">
        <f>SUM(E6:E17)</f>
        <v>42172959.748619117</v>
      </c>
      <c r="F18" s="17">
        <f>SUM(F6:F17)</f>
        <v>19464442.960901126</v>
      </c>
      <c r="G18" s="18">
        <f>F18/B18</f>
        <v>0.12</v>
      </c>
      <c r="H18" s="17">
        <f>SUM(H6:H17)</f>
        <v>153784874.97985131</v>
      </c>
      <c r="I18" s="17">
        <f>SUM(I6:I17)</f>
        <v>52286857.493149452</v>
      </c>
      <c r="J18" s="18">
        <f>I18/H18</f>
        <v>0.34000000000000008</v>
      </c>
      <c r="K18" s="17">
        <f>SUM(K6:K17)</f>
        <v>43059764.994358361</v>
      </c>
      <c r="L18" s="17">
        <f>SUM(L6:L17)</f>
        <v>9227092.49879108</v>
      </c>
      <c r="M18" s="18">
        <f>L18/H18</f>
        <v>6.0000000000000012E-2</v>
      </c>
      <c r="N18" s="17">
        <f>SUM(N6:N17)</f>
        <v>166323185.86682031</v>
      </c>
      <c r="O18" s="17">
        <f>SUM(O6:O17)</f>
        <v>68192506.205396309</v>
      </c>
      <c r="P18" s="18">
        <f>O18/N18</f>
        <v>0.40999999999999992</v>
      </c>
      <c r="Q18" s="17">
        <f>SUM(Q6:Q17)</f>
        <v>41580796.466705076</v>
      </c>
      <c r="R18" s="17">
        <f>SUM(R6:R17)</f>
        <v>26611709.738691244</v>
      </c>
      <c r="S18" s="18">
        <f>R18/N18</f>
        <v>0.15999999999999998</v>
      </c>
    </row>
    <row r="20" spans="1:19">
      <c r="A20" s="38" t="s">
        <v>51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</row>
    <row r="21" spans="1:19">
      <c r="B21" s="8" t="s">
        <v>45</v>
      </c>
      <c r="C21" s="8"/>
      <c r="D21" s="8"/>
      <c r="E21" s="8"/>
      <c r="F21" s="8"/>
      <c r="G21" s="8"/>
      <c r="H21" s="9" t="s">
        <v>46</v>
      </c>
      <c r="I21" s="9"/>
      <c r="J21" s="9"/>
      <c r="K21" s="9"/>
      <c r="L21" s="9"/>
      <c r="M21" s="9"/>
      <c r="N21" s="10" t="s">
        <v>47</v>
      </c>
      <c r="O21" s="10"/>
      <c r="P21" s="10"/>
      <c r="Q21" s="10"/>
      <c r="R21" s="10"/>
      <c r="S21" s="10"/>
    </row>
    <row r="22" spans="1:19" ht="35.25" customHeight="1">
      <c r="A22" s="12" t="s">
        <v>2</v>
      </c>
      <c r="B22" s="12" t="s">
        <v>52</v>
      </c>
      <c r="C22" s="12" t="s">
        <v>53</v>
      </c>
      <c r="D22" s="12" t="s">
        <v>54</v>
      </c>
      <c r="E22" s="12" t="s">
        <v>55</v>
      </c>
      <c r="F22" s="12" t="s">
        <v>56</v>
      </c>
      <c r="G22" s="12" t="s">
        <v>57</v>
      </c>
      <c r="H22" s="12" t="s">
        <v>52</v>
      </c>
      <c r="I22" s="12" t="s">
        <v>53</v>
      </c>
      <c r="J22" s="12" t="s">
        <v>54</v>
      </c>
      <c r="K22" s="12" t="s">
        <v>55</v>
      </c>
      <c r="L22" s="12" t="s">
        <v>56</v>
      </c>
      <c r="M22" s="12" t="s">
        <v>57</v>
      </c>
      <c r="N22" s="12" t="s">
        <v>52</v>
      </c>
      <c r="O22" s="12" t="s">
        <v>53</v>
      </c>
      <c r="P22" s="12" t="s">
        <v>54</v>
      </c>
      <c r="Q22" s="12" t="s">
        <v>55</v>
      </c>
      <c r="R22" s="12" t="s">
        <v>56</v>
      </c>
      <c r="S22" s="12" t="s">
        <v>57</v>
      </c>
    </row>
    <row r="23" spans="1:19">
      <c r="A23" s="13">
        <f>DATE(2026,1,1)</f>
        <v>46023</v>
      </c>
      <c r="B23" s="14">
        <f>B6*Varsayımlar!$B$8/30</f>
        <v>24893345.444405392</v>
      </c>
      <c r="C23" s="14">
        <f>B6*(1-Varsayımlar!$B$6)*Varsayımlar!$B$9/30</f>
        <v>18953880.566442002</v>
      </c>
      <c r="D23" s="14">
        <f>B6*(1-Varsayımlar!$B$6)*Varsayımlar!$B$10/30</f>
        <v>10560019.172731971</v>
      </c>
      <c r="E23" s="14">
        <f>B23+C23-D23</f>
        <v>33287206.838115416</v>
      </c>
      <c r="F23" s="14">
        <f>E23-(Gerçekleşen!B40*Gerçekleşen!I40/30+Gerçekleşen!B40*(1-Gerçekleşen!D40)*Gerçekleşen!J40/30-Gerçekleşen!B40*(1-Gerçekleşen!D40)*Gerçekleşen!K40/30)</f>
        <v>702429.19873569906</v>
      </c>
      <c r="G23" s="14">
        <f>F6*(1-Varsayımlar!$B$12)-F23-B6*Varsayımlar!$B$11</f>
        <v>-112849.96452609776</v>
      </c>
      <c r="H23" s="14">
        <f>H6*Varsayımlar!$C$8/30</f>
        <v>29455494.579974789</v>
      </c>
      <c r="I23" s="14">
        <f>H6*(1-Varsayımlar!$C$6)*Varsayımlar!$C$9/30</f>
        <v>23443108.333356399</v>
      </c>
      <c r="J23" s="14">
        <f>H6*(1-Varsayımlar!$C$6)*Varsayımlar!$C$10/30</f>
        <v>10292096.341473542</v>
      </c>
      <c r="K23" s="14">
        <f>H23+I23-J23</f>
        <v>42606506.571857646</v>
      </c>
      <c r="L23" s="14">
        <f>K23-(Gerçekleşen!B40*Gerçekleşen!I40/30+Gerçekleşen!B40*(1-Gerçekleşen!D40)*Gerçekleşen!J40/30-Gerçekleşen!B40*(1-Gerçekleşen!D40)*Gerçekleşen!K40/30)</f>
        <v>10021728.932477929</v>
      </c>
      <c r="M23" s="14">
        <f>L6*(1-Varsayımlar!$C$12)-L23-H6*Varsayımlar!$C$11</f>
        <v>-9891778.2210956868</v>
      </c>
      <c r="N23" s="14">
        <f>N6*Varsayımlar!$D$8/30</f>
        <v>21919531.540422428</v>
      </c>
      <c r="O23" s="14">
        <f>N6*(1-Varsayımlar!$D$6)*Varsayımlar!$D$9/30</f>
        <v>16036329.274973048</v>
      </c>
      <c r="P23" s="14">
        <f>N6*(1-Varsayımlar!$D$6)*Varsayımlar!$D$10/30</f>
        <v>11121970.303610342</v>
      </c>
      <c r="Q23" s="14">
        <f>N23+O23-P23</f>
        <v>26833890.511785135</v>
      </c>
      <c r="R23" s="14">
        <f>Q23-(Gerçekleşen!B40*Gerçekleşen!I40/30+Gerçekleşen!B40*(1-Gerçekleşen!D40)*Gerçekleşen!J40/30-Gerçekleşen!B40*(1-Gerçekleşen!D40)*Gerçekleşen!K40/30)</f>
        <v>-5750887.1275945827</v>
      </c>
      <c r="S23" s="14">
        <f>R6*(1-Varsayımlar!$D$12)-R23-N6*Varsayımlar!$D$11</f>
        <v>6539990.2630497897</v>
      </c>
    </row>
    <row r="24" spans="1:19">
      <c r="A24" s="13">
        <f>DATE(2026,2,1)</f>
        <v>46054</v>
      </c>
      <c r="B24" s="14">
        <f>B7*Varsayımlar!$B$8/30</f>
        <v>25034096.038726963</v>
      </c>
      <c r="C24" s="14">
        <f>B7*(1-Varsayımlar!$B$6)*Varsayımlar!$B$9/30</f>
        <v>19061048.562820178</v>
      </c>
      <c r="D24" s="14">
        <f>B7*(1-Varsayımlar!$B$6)*Varsayımlar!$B$10/30</f>
        <v>10619727.056428384</v>
      </c>
      <c r="E24" s="14">
        <f>B24+C24-D24</f>
        <v>33475417.545118753</v>
      </c>
      <c r="F24" s="14">
        <f>E24-E23</f>
        <v>188210.7070033364</v>
      </c>
      <c r="G24" s="14">
        <f>F7*(1-Varsayımlar!$B$12)-F24-B7*Varsayımlar!$B$11</f>
        <v>404702.09391388064</v>
      </c>
      <c r="H24" s="14">
        <f>H7*Varsayımlar!$C$8/30</f>
        <v>29380823.46926995</v>
      </c>
      <c r="I24" s="14">
        <f>H7*(1-Varsayımlar!$C$6)*Varsayımlar!$C$9/30</f>
        <v>23383678.914071903</v>
      </c>
      <c r="J24" s="14">
        <f>H7*(1-Varsayımlar!$C$6)*Varsayımlar!$C$10/30</f>
        <v>10266005.376909615</v>
      </c>
      <c r="K24" s="14">
        <f>H24+I24-J24</f>
        <v>42498497.006432235</v>
      </c>
      <c r="L24" s="14">
        <f>K24-K23</f>
        <v>-108009.56542541087</v>
      </c>
      <c r="M24" s="14">
        <f>L7*(1-Varsayımlar!$C$12)-L24-H7*Varsayımlar!$C$11</f>
        <v>237630.84543689602</v>
      </c>
      <c r="N24" s="14">
        <f>N7*Varsayımlar!$D$8/30</f>
        <v>22127521.436432555</v>
      </c>
      <c r="O24" s="14">
        <f>N7*(1-Varsayımlar!$D$6)*Varsayımlar!$D$9/30</f>
        <v>16188494.68289406</v>
      </c>
      <c r="P24" s="14">
        <f>N7*(1-Varsayımlar!$D$6)*Varsayımlar!$D$10/30</f>
        <v>11227504.376845879</v>
      </c>
      <c r="Q24" s="14">
        <f>N24+O24-P24</f>
        <v>27088511.742480733</v>
      </c>
      <c r="R24" s="14">
        <f>Q24-Q23</f>
        <v>254621.23069559783</v>
      </c>
      <c r="S24" s="14">
        <f>R7*(1-Varsayımlar!$D$12)-R24-N7*Varsayımlar!$D$11</f>
        <v>541969.5410159739</v>
      </c>
    </row>
    <row r="25" spans="1:19">
      <c r="A25" s="13">
        <f>DATE(2026,3,1)</f>
        <v>46082</v>
      </c>
      <c r="B25" s="14">
        <f>B8*Varsayımlar!$B$8/30</f>
        <v>25175642.457372189</v>
      </c>
      <c r="C25" s="14">
        <f>B8*(1-Varsayımlar!$B$6)*Varsayımlar!$B$9/30</f>
        <v>19168822.502630755</v>
      </c>
      <c r="D25" s="14">
        <f>B8*(1-Varsayımlar!$B$6)*Varsayımlar!$B$10/30</f>
        <v>10679772.537179993</v>
      </c>
      <c r="E25" s="14">
        <f>B25+C25-D25</f>
        <v>33664692.422822952</v>
      </c>
      <c r="F25" s="14">
        <f>E25-E24</f>
        <v>189274.8777041994</v>
      </c>
      <c r="G25" s="14">
        <f>F8*(1-Varsayımlar!$B$12)-F25-B8*Varsayımlar!$B$11</f>
        <v>406990.33839145768</v>
      </c>
      <c r="H25" s="14">
        <f>H8*Varsayımlar!$C$8/30</f>
        <v>29306341.653460797</v>
      </c>
      <c r="I25" s="14">
        <f>H8*(1-Varsayımlar!$C$6)*Varsayımlar!$C$9/30</f>
        <v>23324400.151254382</v>
      </c>
      <c r="J25" s="14">
        <f>H8*(1-Varsayımlar!$C$6)*Varsayımlar!$C$10/30</f>
        <v>10239980.554209242</v>
      </c>
      <c r="K25" s="14">
        <f>H25+I25-J25</f>
        <v>42390761.250505939</v>
      </c>
      <c r="L25" s="14">
        <f>K25-K24</f>
        <v>-107735.75592629611</v>
      </c>
      <c r="M25" s="14">
        <f>L8*(1-Varsayımlar!$C$12)-L25-H8*Varsayımlar!$C$11</f>
        <v>237028.43969156453</v>
      </c>
      <c r="N25" s="14">
        <f>N8*Varsayımlar!$D$8/30</f>
        <v>22337484.905498412</v>
      </c>
      <c r="O25" s="14">
        <f>N8*(1-Varsayımlar!$D$6)*Varsayımlar!$D$9/30</f>
        <v>16342103.95686264</v>
      </c>
      <c r="P25" s="14">
        <f>N8*(1-Varsayımlar!$D$6)*Varsayımlar!$D$10/30</f>
        <v>11334039.841049897</v>
      </c>
      <c r="Q25" s="14">
        <f>N25+O25-P25</f>
        <v>27345549.021311156</v>
      </c>
      <c r="R25" s="14">
        <f>Q25-Q24</f>
        <v>257037.27883042395</v>
      </c>
      <c r="S25" s="14">
        <f>R8*(1-Varsayımlar!$D$12)-R25-N8*Varsayımlar!$D$11</f>
        <v>547112.17776751891</v>
      </c>
    </row>
    <row r="26" spans="1:19">
      <c r="A26" s="13">
        <f>DATE(2026,4,1)</f>
        <v>46113</v>
      </c>
      <c r="B26" s="14">
        <f>B9*Varsayımlar!$B$8/30</f>
        <v>25317989.200047504</v>
      </c>
      <c r="C26" s="14">
        <f>B9*(1-Varsayımlar!$B$6)*Varsayımlar!$B$9/30</f>
        <v>19277205.811965995</v>
      </c>
      <c r="D26" s="14">
        <f>B9*(1-Varsayımlar!$B$6)*Varsayımlar!$B$10/30</f>
        <v>10740157.523809625</v>
      </c>
      <c r="E26" s="14">
        <f>B26+C26-D26</f>
        <v>33855037.488203868</v>
      </c>
      <c r="F26" s="14">
        <f>E26-E25</f>
        <v>190345.065380916</v>
      </c>
      <c r="G26" s="14">
        <f>F9*(1-Varsayımlar!$B$12)-F26-B9*Varsayımlar!$B$11</f>
        <v>409291.520935999</v>
      </c>
      <c r="H26" s="14">
        <f>H9*Varsayımlar!$C$8/30</f>
        <v>29232048.652675565</v>
      </c>
      <c r="I26" s="14">
        <f>H9*(1-Varsayımlar!$C$6)*Varsayımlar!$C$9/30</f>
        <v>23265271.662982371</v>
      </c>
      <c r="J26" s="14">
        <f>H9*(1-Varsayımlar!$C$6)*Varsayımlar!$C$10/30</f>
        <v>10214021.70569958</v>
      </c>
      <c r="K26" s="14">
        <f>H26+I26-J26</f>
        <v>42283298.609958358</v>
      </c>
      <c r="L26" s="14">
        <f>K26-K25</f>
        <v>-107462.64054758102</v>
      </c>
      <c r="M26" s="14">
        <f>L9*(1-Varsayımlar!$C$12)-L26-H9*Varsayımlar!$C$11</f>
        <v>236427.56107409095</v>
      </c>
      <c r="N26" s="14">
        <f>N9*Varsayımlar!$D$8/30</f>
        <v>22549440.674446061</v>
      </c>
      <c r="O26" s="14">
        <f>N9*(1-Varsayımlar!$D$6)*Varsayımlar!$D$9/30</f>
        <v>16497170.797424739</v>
      </c>
      <c r="P26" s="14">
        <f>N9*(1-Varsayımlar!$D$6)*Varsayımlar!$D$10/30</f>
        <v>11441586.198213933</v>
      </c>
      <c r="Q26" s="14">
        <f>N26+O26-P26</f>
        <v>27605025.273656867</v>
      </c>
      <c r="R26" s="14">
        <f>Q26-Q25</f>
        <v>259476.25234571099</v>
      </c>
      <c r="S26" s="14">
        <f>R9*(1-Varsayımlar!$D$12)-R26-N9*Varsayımlar!$D$11</f>
        <v>552303.6119343465</v>
      </c>
    </row>
    <row r="27" spans="1:19">
      <c r="A27" s="13">
        <f>DATE(2026,5,1)</f>
        <v>46143</v>
      </c>
      <c r="B27" s="14">
        <f>B10*Varsayımlar!$B$8/30</f>
        <v>25461140.791901328</v>
      </c>
      <c r="C27" s="14">
        <f>B10*(1-Varsayımlar!$B$6)*Varsayımlar!$B$9/30</f>
        <v>19386201.936289784</v>
      </c>
      <c r="D27" s="14">
        <f>B10*(1-Varsayımlar!$B$6)*Varsayımlar!$B$10/30</f>
        <v>10800883.935932878</v>
      </c>
      <c r="E27" s="14">
        <f>B27+C27-D27</f>
        <v>34046458.792258233</v>
      </c>
      <c r="F27" s="14">
        <f>E27-E26</f>
        <v>191421.30405436456</v>
      </c>
      <c r="G27" s="14">
        <f>F10*(1-Varsayımlar!$B$12)-F27-B10*Varsayımlar!$B$11</f>
        <v>411605.71470119315</v>
      </c>
      <c r="H27" s="14">
        <f>H10*Varsayımlar!$C$8/30</f>
        <v>29157943.988258991</v>
      </c>
      <c r="I27" s="14">
        <f>H10*(1-Varsayımlar!$C$6)*Varsayımlar!$C$9/30</f>
        <v>23206293.068302594</v>
      </c>
      <c r="J27" s="14">
        <f>H10*(1-Varsayımlar!$C$6)*Varsayımlar!$C$10/30</f>
        <v>10188128.664132845</v>
      </c>
      <c r="K27" s="14">
        <f>H27+I27-J27</f>
        <v>42176108.392428741</v>
      </c>
      <c r="L27" s="14">
        <f>K27-K26</f>
        <v>-107190.21752961725</v>
      </c>
      <c r="M27" s="14">
        <f>L10*(1-Varsayımlar!$C$12)-L27-H10*Varsayımlar!$C$11</f>
        <v>235828.20571311295</v>
      </c>
      <c r="N27" s="14">
        <f>N10*Varsayımlar!$D$8/30</f>
        <v>22763407.647796545</v>
      </c>
      <c r="O27" s="14">
        <f>N10*(1-Varsayımlar!$D$6)*Varsayımlar!$D$9/30</f>
        <v>16653709.035127955</v>
      </c>
      <c r="P27" s="14">
        <f>N10*(1-Varsayımlar!$D$6)*Varsayımlar!$D$10/30</f>
        <v>11550153.040491968</v>
      </c>
      <c r="Q27" s="14">
        <f>N27+O27-P27</f>
        <v>27866963.642432533</v>
      </c>
      <c r="R27" s="14">
        <f>Q27-Q26</f>
        <v>261938.36877566576</v>
      </c>
      <c r="S27" s="14">
        <f>R10*(1-Varsayımlar!$D$12)-R27-N10*Varsayımlar!$D$11</f>
        <v>557544.30654500995</v>
      </c>
    </row>
    <row r="28" spans="1:19">
      <c r="A28" s="13">
        <f>DATE(2026,6,1)</f>
        <v>46174</v>
      </c>
      <c r="B28" s="14">
        <f>B11*Varsayımlar!$B$8/30</f>
        <v>25605101.783667933</v>
      </c>
      <c r="C28" s="14">
        <f>B11*(1-Varsayımlar!$B$6)*Varsayımlar!$B$9/30</f>
        <v>19495814.340547159</v>
      </c>
      <c r="D28" s="14">
        <f>B11*(1-Varsayımlar!$B$6)*Varsayımlar!$B$10/30</f>
        <v>10861953.704019133</v>
      </c>
      <c r="E28" s="14">
        <f>B28+C28-D28</f>
        <v>34238962.420195967</v>
      </c>
      <c r="F28" s="14">
        <f>E28-E27</f>
        <v>192503.62793773413</v>
      </c>
      <c r="G28" s="14">
        <f>F11*(1-Varsayımlar!$B$12)-F28-B11*Varsayımlar!$B$11</f>
        <v>413932.99325440137</v>
      </c>
      <c r="H28" s="14">
        <f>H11*Varsayımlar!$C$8/30</f>
        <v>29084027.182769228</v>
      </c>
      <c r="I28" s="14">
        <f>H11*(1-Varsayımlar!$C$6)*Varsayımlar!$C$9/30</f>
        <v>23147463.987227503</v>
      </c>
      <c r="J28" s="14">
        <f>H11*(1-Varsayımlar!$C$6)*Varsayımlar!$C$10/30</f>
        <v>10162301.262685245</v>
      </c>
      <c r="K28" s="14">
        <f>H28+I28-J28</f>
        <v>42069189.907311484</v>
      </c>
      <c r="L28" s="14">
        <f>K28-K27</f>
        <v>-106918.48511725664</v>
      </c>
      <c r="M28" s="14">
        <f>L11*(1-Varsayımlar!$C$12)-L28-H11*Varsayımlar!$C$11</f>
        <v>235230.36974712048</v>
      </c>
      <c r="N28" s="14">
        <f>N11*Varsayımlar!$D$8/30</f>
        <v>22979404.909451988</v>
      </c>
      <c r="O28" s="14">
        <f>N11*(1-Varsayımlar!$D$6)*Varsayımlar!$D$9/30</f>
        <v>16811732.631755076</v>
      </c>
      <c r="P28" s="14">
        <f>N11*(1-Varsayımlar!$D$6)*Varsayımlar!$D$10/30</f>
        <v>11659750.05105594</v>
      </c>
      <c r="Q28" s="14">
        <f>N28+O28-P28</f>
        <v>28131387.490151122</v>
      </c>
      <c r="R28" s="14">
        <f>Q28-Q27</f>
        <v>264423.84771858901</v>
      </c>
      <c r="S28" s="14">
        <f>R11*(1-Varsayımlar!$D$12)-R28-N11*Varsayımlar!$D$11</f>
        <v>562834.72902168252</v>
      </c>
    </row>
    <row r="29" spans="1:19">
      <c r="A29" s="13">
        <f>DATE(2026,7,1)</f>
        <v>46204</v>
      </c>
      <c r="B29" s="14">
        <f>B12*Varsayımlar!$B$8/30</f>
        <v>25749876.7518121</v>
      </c>
      <c r="C29" s="14">
        <f>B12*(1-Varsayımlar!$B$6)*Varsayımlar!$B$9/30</f>
        <v>19606046.509274479</v>
      </c>
      <c r="D29" s="14">
        <f>B12*(1-Varsayımlar!$B$6)*Varsayımlar!$B$10/30</f>
        <v>10923368.769452924</v>
      </c>
      <c r="E29" s="14">
        <f>B29+C29-D29</f>
        <v>34432554.491633661</v>
      </c>
      <c r="F29" s="14">
        <f>E29-E28</f>
        <v>193592.07143769413</v>
      </c>
      <c r="G29" s="14">
        <f>F12*(1-Varsayımlar!$B$12)-F29-B12*Varsayımlar!$B$11</f>
        <v>416273.43057890818</v>
      </c>
      <c r="H29" s="14">
        <f>H12*Varsayımlar!$C$8/30</f>
        <v>29010297.759974763</v>
      </c>
      <c r="I29" s="14">
        <f>H12*(1-Varsayımlar!$C$6)*Varsayımlar!$C$9/30</f>
        <v>23088784.040732849</v>
      </c>
      <c r="J29" s="14">
        <f>H12*(1-Varsayımlar!$C$6)*Varsayımlar!$C$10/30</f>
        <v>10136539.334955884</v>
      </c>
      <c r="K29" s="14">
        <f>H29+I29-J29</f>
        <v>41962542.465751722</v>
      </c>
      <c r="L29" s="14">
        <f>K29-K28</f>
        <v>-106647.44155976176</v>
      </c>
      <c r="M29" s="14">
        <f>L12*(1-Varsayımlar!$C$12)-L29-H12*Varsayımlar!$C$11</f>
        <v>234634.04932435637</v>
      </c>
      <c r="N29" s="14">
        <f>N12*Varsayımlar!$D$8/30</f>
        <v>23197451.724397719</v>
      </c>
      <c r="O29" s="14">
        <f>N12*(1-Varsayımlar!$D$6)*Varsayımlar!$D$9/30</f>
        <v>16971255.681569375</v>
      </c>
      <c r="P29" s="14">
        <f>N12*(1-Varsayımlar!$D$6)*Varsayımlar!$D$10/30</f>
        <v>11770387.004959404</v>
      </c>
      <c r="Q29" s="14">
        <f>N29+O29-P29</f>
        <v>28398320.40100769</v>
      </c>
      <c r="R29" s="14">
        <f>Q29-Q28</f>
        <v>266932.91085656732</v>
      </c>
      <c r="S29" s="14">
        <f>R12*(1-Varsayımlar!$D$12)-R29-N12*Varsayımlar!$D$11</f>
        <v>568175.35122175037</v>
      </c>
    </row>
    <row r="30" spans="1:19">
      <c r="A30" s="13">
        <f>DATE(2026,8,1)</f>
        <v>46235</v>
      </c>
      <c r="B30" s="14">
        <f>B13*Varsayımlar!$B$8/30</f>
        <v>25895470.29867461</v>
      </c>
      <c r="C30" s="14">
        <f>B13*(1-Varsayımlar!$B$6)*Varsayımlar!$B$9/30</f>
        <v>19716901.946710147</v>
      </c>
      <c r="D30" s="14">
        <f>B13*(1-Varsayımlar!$B$6)*Varsayımlar!$B$10/30</f>
        <v>10985131.084595652</v>
      </c>
      <c r="E30" s="14">
        <f>B30+C30-D30</f>
        <v>34627241.160789102</v>
      </c>
      <c r="F30" s="14">
        <f>E30-E29</f>
        <v>194686.66915544122</v>
      </c>
      <c r="G30" s="14">
        <f>F13*(1-Varsayımlar!$B$12)-F30-B13*Varsayımlar!$B$11</f>
        <v>418627.10107632633</v>
      </c>
      <c r="H30" s="14">
        <f>H13*Varsayımlar!$C$8/30</f>
        <v>28936755.244851351</v>
      </c>
      <c r="I30" s="14">
        <f>H13*(1-Varsayımlar!$C$6)*Varsayımlar!$C$9/30</f>
        <v>23030252.850755215</v>
      </c>
      <c r="J30" s="14">
        <f>H13*(1-Varsayımlar!$C$6)*Varsayımlar!$C$10/30</f>
        <v>10110842.714965705</v>
      </c>
      <c r="K30" s="14">
        <f>H30+I30-J30</f>
        <v>41856165.380640864</v>
      </c>
      <c r="L30" s="14">
        <f>K30-K29</f>
        <v>-106377.08511085808</v>
      </c>
      <c r="M30" s="14">
        <f>L13*(1-Varsayımlar!$C$12)-L30-H13*Varsayımlar!$C$11</f>
        <v>234039.2406028494</v>
      </c>
      <c r="N30" s="14">
        <f>N13*Varsayımlar!$D$8/30</f>
        <v>23417567.540420517</v>
      </c>
      <c r="O30" s="14">
        <f>N13*(1-Varsayımlar!$D$6)*Varsayımlar!$D$9/30</f>
        <v>17132292.412571654</v>
      </c>
      <c r="P30" s="14">
        <f>N13*(1-Varsayımlar!$D$6)*Varsayımlar!$D$10/30</f>
        <v>11882073.770009371</v>
      </c>
      <c r="Q30" s="14">
        <f>N30+O30-P30</f>
        <v>28667786.182982802</v>
      </c>
      <c r="R30" s="14">
        <f>Q30-Q29</f>
        <v>269465.78197511286</v>
      </c>
      <c r="S30" s="14">
        <f>R13*(1-Varsayımlar!$D$12)-R30-N13*Varsayımlar!$D$11</f>
        <v>573566.64948002528</v>
      </c>
    </row>
    <row r="31" spans="1:19">
      <c r="A31" s="13">
        <f>DATE(2026,9,1)</f>
        <v>46266</v>
      </c>
      <c r="B31" s="14">
        <f>B14*Varsayımlar!$B$8/30</f>
        <v>26041887.052618556</v>
      </c>
      <c r="C31" s="14">
        <f>B14*(1-Varsayımlar!$B$6)*Varsayımlar!$B$9/30</f>
        <v>19828384.176906057</v>
      </c>
      <c r="D31" s="14">
        <f>B14*(1-Varsayımlar!$B$6)*Varsayımlar!$B$10/30</f>
        <v>11047242.61284766</v>
      </c>
      <c r="E31" s="14">
        <f>B31+C31-D31</f>
        <v>34823028.616676956</v>
      </c>
      <c r="F31" s="14">
        <f>E31-E30</f>
        <v>195787.4558878541</v>
      </c>
      <c r="G31" s="14">
        <f>F14*(1-Varsayımlar!$B$12)-F31-B14*Varsayımlar!$B$11</f>
        <v>420994.0795689011</v>
      </c>
      <c r="H31" s="14">
        <f>H14*Varsayımlar!$C$8/30</f>
        <v>28863399.163578961</v>
      </c>
      <c r="I31" s="14">
        <f>H14*(1-Varsayımlar!$C$6)*Varsayımlar!$C$9/30</f>
        <v>22971870.040189601</v>
      </c>
      <c r="J31" s="14">
        <f>H14*(1-Varsayımlar!$C$6)*Varsayımlar!$C$10/30</f>
        <v>10085211.237156412</v>
      </c>
      <c r="K31" s="14">
        <f>H31+I31-J31</f>
        <v>41750057.966612153</v>
      </c>
      <c r="L31" s="14">
        <f>K31-K30</f>
        <v>-106107.41402871162</v>
      </c>
      <c r="M31" s="14">
        <f>L14*(1-Varsayımlar!$C$12)-L31-H14*Varsayımlar!$C$11</f>
        <v>233445.93975038326</v>
      </c>
      <c r="N31" s="14">
        <f>N14*Varsayımlar!$D$8/30</f>
        <v>23639771.989843182</v>
      </c>
      <c r="O31" s="14">
        <f>N14*(1-Varsayımlar!$D$6)*Varsayımlar!$D$9/30</f>
        <v>17294857.187769275</v>
      </c>
      <c r="P31" s="14">
        <f>N14*(1-Varsayımlar!$D$6)*Varsayımlar!$D$10/30</f>
        <v>11994820.307646431</v>
      </c>
      <c r="Q31" s="14">
        <f>N31+O31-P31</f>
        <v>28939808.869966023</v>
      </c>
      <c r="R31" s="14">
        <f>Q31-Q30</f>
        <v>272022.68698322028</v>
      </c>
      <c r="S31" s="14">
        <f>R14*(1-Varsayımlar!$D$12)-R31-N14*Varsayımlar!$D$11</f>
        <v>579009.104651134</v>
      </c>
    </row>
    <row r="32" spans="1:19">
      <c r="A32" s="13">
        <f>DATE(2026,10,1)</f>
        <v>46296</v>
      </c>
      <c r="B32" s="14">
        <f>B15*Varsayımlar!$B$8/30</f>
        <v>26189131.66817645</v>
      </c>
      <c r="C32" s="14">
        <f>B15*(1-Varsayımlar!$B$6)*Varsayımlar!$B$9/30</f>
        <v>19940496.74383961</v>
      </c>
      <c r="D32" s="14">
        <f>B15*(1-Varsayımlar!$B$6)*Varsayımlar!$B$10/30</f>
        <v>11109705.32871064</v>
      </c>
      <c r="E32" s="14">
        <f>B32+C32-D32</f>
        <v>35019923.083305426</v>
      </c>
      <c r="F32" s="14">
        <f>E32-E31</f>
        <v>196894.46662846953</v>
      </c>
      <c r="G32" s="14">
        <f>F15*(1-Varsayımlar!$B$12)-F32-B15*Varsayımlar!$B$11</f>
        <v>423374.44130202523</v>
      </c>
      <c r="H32" s="14">
        <f>H15*Varsayımlar!$C$8/30</f>
        <v>28790229.043538712</v>
      </c>
      <c r="I32" s="14">
        <f>H15*(1-Varsayımlar!$C$6)*Varsayımlar!$C$9/30</f>
        <v>22913635.232886985</v>
      </c>
      <c r="J32" s="14">
        <f>H15*(1-Varsayımlar!$C$6)*Varsayımlar!$C$10/30</f>
        <v>10059644.736389408</v>
      </c>
      <c r="K32" s="14">
        <f>H32+I32-J32</f>
        <v>41644219.540036291</v>
      </c>
      <c r="L32" s="14">
        <f>K32-K31</f>
        <v>-105838.42657586187</v>
      </c>
      <c r="M32" s="14">
        <f>L15*(1-Varsayımlar!$C$12)-L32-H15*Varsayımlar!$C$11</f>
        <v>232854.14294441533</v>
      </c>
      <c r="N32" s="14">
        <f>N15*Varsayımlar!$D$8/30</f>
        <v>23864084.891275559</v>
      </c>
      <c r="O32" s="14">
        <f>N15*(1-Varsayımlar!$D$6)*Varsayımlar!$D$9/30</f>
        <v>17458964.506457198</v>
      </c>
      <c r="P32" s="14">
        <f>N15*(1-Varsayımlar!$D$6)*Varsayımlar!$D$10/30</f>
        <v>12108636.673833219</v>
      </c>
      <c r="Q32" s="14">
        <f>N32+O32-P32</f>
        <v>29214412.723899536</v>
      </c>
      <c r="R32" s="14">
        <f>Q32-Q31</f>
        <v>274603.85393351316</v>
      </c>
      <c r="S32" s="14">
        <f>R15*(1-Varsayımlar!$D$12)-R32-N15*Varsayımlar!$D$11</f>
        <v>584503.20215240645</v>
      </c>
    </row>
    <row r="33" spans="1:19">
      <c r="A33" s="13">
        <f>DATE(2026,11,1)</f>
        <v>46327</v>
      </c>
      <c r="B33" s="14">
        <f>B16*Varsayımlar!$B$8/30</f>
        <v>26337208.826198217</v>
      </c>
      <c r="C33" s="14">
        <f>B16*(1-Varsayımlar!$B$6)*Varsayımlar!$B$9/30</f>
        <v>20053243.21152636</v>
      </c>
      <c r="D33" s="14">
        <f>B16*(1-Varsayımlar!$B$6)*Varsayımlar!$B$10/30</f>
        <v>11172521.2178504</v>
      </c>
      <c r="E33" s="14">
        <f>B33+C33-D33</f>
        <v>35217930.819874175</v>
      </c>
      <c r="F33" s="14">
        <f>E33-E32</f>
        <v>198007.73656874895</v>
      </c>
      <c r="G33" s="14">
        <f>F16*(1-Varsayımlar!$B$12)-F33-B16*Varsayımlar!$B$11</f>
        <v>425768.26194647152</v>
      </c>
      <c r="H33" s="14">
        <f>H16*Varsayımlar!$C$8/30</f>
        <v>28717244.41330985</v>
      </c>
      <c r="I33" s="14">
        <f>H16*(1-Varsayımlar!$C$6)*Varsayımlar!$C$9/30</f>
        <v>22855548.053651895</v>
      </c>
      <c r="J33" s="14">
        <f>H16*(1-Varsayımlar!$C$6)*Varsayımlar!$C$10/30</f>
        <v>10034143.047944734</v>
      </c>
      <c r="K33" s="14">
        <f>H33+I33-J33</f>
        <v>41538649.419017009</v>
      </c>
      <c r="L33" s="14">
        <f>K33-K32</f>
        <v>-105570.12101928145</v>
      </c>
      <c r="M33" s="14">
        <f>L16*(1-Varsayımlar!$C$12)-L33-H16*Varsayımlar!$C$11</f>
        <v>232263.84637211921</v>
      </c>
      <c r="N33" s="14">
        <f>N16*Varsayımlar!$D$8/30</f>
        <v>24090526.251382183</v>
      </c>
      <c r="O33" s="14">
        <f>N16*(1-Varsayımlar!$D$6)*Varsayımlar!$D$9/30</f>
        <v>17624629.005511209</v>
      </c>
      <c r="P33" s="14">
        <f>N16*(1-Varsayımlar!$D$6)*Varsayımlar!$D$10/30</f>
        <v>12223533.019951323</v>
      </c>
      <c r="Q33" s="14">
        <f>N33+O33-P33</f>
        <v>29491622.236942075</v>
      </c>
      <c r="R33" s="14">
        <f>Q33-Q32</f>
        <v>277209.51304253936</v>
      </c>
      <c r="S33" s="14">
        <f>R16*(1-Varsayımlar!$D$12)-R33-N16*Varsayımlar!$D$11</f>
        <v>590049.43200721906</v>
      </c>
    </row>
    <row r="34" spans="1:19">
      <c r="A34" s="13">
        <f>DATE(2026,12,1)</f>
        <v>46357</v>
      </c>
      <c r="B34" s="14">
        <f>B17*Varsayımlar!$B$8/30</f>
        <v>26486123.233999994</v>
      </c>
      <c r="C34" s="14">
        <f>B17*(1-Varsayımlar!$B$6)*Varsayımlar!$B$9/30</f>
        <v>20166627.164133329</v>
      </c>
      <c r="D34" s="14">
        <f>B17*(1-Varsayımlar!$B$6)*Varsayımlar!$B$10/30</f>
        <v>11235692.277159998</v>
      </c>
      <c r="E34" s="14">
        <f>B34+C34-D34</f>
        <v>35417058.120973326</v>
      </c>
      <c r="F34" s="14">
        <f>E34-E33</f>
        <v>199127.30109915137</v>
      </c>
      <c r="G34" s="14">
        <f>F17*(1-Varsayımlar!$B$12)-F34-B17*Varsayımlar!$B$11</f>
        <v>428175.61760084878</v>
      </c>
      <c r="H34" s="14">
        <f>H17*Varsayımlar!$C$8/30</f>
        <v>28644444.802666679</v>
      </c>
      <c r="I34" s="14">
        <f>H17*(1-Varsayımlar!$C$6)*Varsayımlar!$C$9/30</f>
        <v>22797608.128240008</v>
      </c>
      <c r="J34" s="14">
        <f>H17*(1-Varsayımlar!$C$6)*Varsayımlar!$C$10/30</f>
        <v>10008706.007520003</v>
      </c>
      <c r="K34" s="14">
        <f>H34+I34-J34</f>
        <v>41433346.923386678</v>
      </c>
      <c r="L34" s="14">
        <f>K34-K33</f>
        <v>-105302.49563033134</v>
      </c>
      <c r="M34" s="14">
        <f>L17*(1-Varsayımlar!$C$12)-L34-H17*Varsayımlar!$C$11</f>
        <v>231675.04623033159</v>
      </c>
      <c r="N34" s="14">
        <f>N17*Varsayımlar!$D$8/30</f>
        <v>24319116.266666688</v>
      </c>
      <c r="O34" s="14">
        <f>N17*(1-Varsayımlar!$D$6)*Varsayımlar!$D$9/30</f>
        <v>17791865.460693352</v>
      </c>
      <c r="P34" s="14">
        <f>N17*(1-Varsayımlar!$D$6)*Varsayımlar!$D$10/30</f>
        <v>12339519.593706679</v>
      </c>
      <c r="Q34" s="14">
        <f>N34+O34-P34</f>
        <v>29771462.133653361</v>
      </c>
      <c r="R34" s="14">
        <f>Q34-Q33</f>
        <v>279839.89671128616</v>
      </c>
      <c r="S34" s="14">
        <f>R17*(1-Varsayımlar!$D$12)-R34-N17*Varsayımlar!$D$11</f>
        <v>595648.28888871463</v>
      </c>
    </row>
    <row r="35" spans="1:19">
      <c r="A35" s="16" t="s">
        <v>50</v>
      </c>
      <c r="B35" s="17">
        <f>B34</f>
        <v>26486123.233999994</v>
      </c>
      <c r="C35" s="17">
        <f>C34</f>
        <v>20166627.164133329</v>
      </c>
      <c r="D35" s="17">
        <f>D34</f>
        <v>11235692.277159998</v>
      </c>
      <c r="E35" s="17">
        <f>E34</f>
        <v>35417058.120973326</v>
      </c>
      <c r="F35" s="17">
        <f>SUM(F23:F34)</f>
        <v>2832280.4815936089</v>
      </c>
      <c r="G35" s="17">
        <f>SUM(G23:G34)</f>
        <v>4466885.6287443144</v>
      </c>
      <c r="H35" s="17">
        <f>H34</f>
        <v>28644444.802666679</v>
      </c>
      <c r="I35" s="17">
        <f>I34</f>
        <v>22797608.128240008</v>
      </c>
      <c r="J35" s="17">
        <f>J34</f>
        <v>10008706.007520003</v>
      </c>
      <c r="K35" s="17">
        <f>K34</f>
        <v>41433346.923386678</v>
      </c>
      <c r="L35" s="17">
        <f>SUM(L23:L34)</f>
        <v>8848569.2840069607</v>
      </c>
      <c r="M35" s="17">
        <f>SUM(M23:M34)</f>
        <v>-7310720.5342084467</v>
      </c>
      <c r="N35" s="17">
        <f>N34</f>
        <v>24319116.266666688</v>
      </c>
      <c r="O35" s="17">
        <f>O34</f>
        <v>17791865.460693352</v>
      </c>
      <c r="P35" s="17">
        <f>P34</f>
        <v>12339519.593706679</v>
      </c>
      <c r="Q35" s="17">
        <f>Q34</f>
        <v>29771462.133653361</v>
      </c>
      <c r="R35" s="17">
        <f>SUM(R23:R34)</f>
        <v>-2813315.5057263561</v>
      </c>
      <c r="S35" s="17">
        <f>SUM(S23:S34)</f>
        <v>12792706.657735573</v>
      </c>
    </row>
    <row r="37" spans="1:19" ht="15.75">
      <c r="A37" s="38" t="s">
        <v>58</v>
      </c>
      <c r="B37" s="38"/>
      <c r="C37" s="38"/>
      <c r="D37" s="38"/>
      <c r="E37" s="38"/>
      <c r="F37" s="38"/>
      <c r="G37" s="38"/>
      <c r="H37" s="39" t="s">
        <v>59</v>
      </c>
      <c r="I37" s="39"/>
      <c r="J37" s="39"/>
      <c r="K37" s="39"/>
      <c r="L37" s="39"/>
    </row>
    <row r="38" spans="1:19">
      <c r="A38" s="11" t="s">
        <v>2</v>
      </c>
      <c r="B38" s="11" t="s">
        <v>60</v>
      </c>
      <c r="C38" s="11" t="s">
        <v>61</v>
      </c>
      <c r="D38" s="11" t="s">
        <v>62</v>
      </c>
      <c r="H38" s="19" t="s">
        <v>63</v>
      </c>
      <c r="I38" s="23" t="s">
        <v>17</v>
      </c>
      <c r="J38" s="24" t="s">
        <v>18</v>
      </c>
      <c r="K38" s="25" t="s">
        <v>19</v>
      </c>
      <c r="L38" s="19" t="s">
        <v>20</v>
      </c>
    </row>
    <row r="39" spans="1:19">
      <c r="A39" s="13">
        <f>DATE(2026,1,1)</f>
        <v>46023</v>
      </c>
      <c r="B39" s="14">
        <f>B6*Varsayımlar!$B$11</f>
        <v>589579.2342096013</v>
      </c>
      <c r="C39" s="14">
        <f>H6*Varsayımlar!$C$11</f>
        <v>454827.48983784602</v>
      </c>
      <c r="D39" s="14">
        <f>N6*Varsayımlar!$D$11</f>
        <v>789103.13545520732</v>
      </c>
      <c r="H39" s="20" t="s">
        <v>64</v>
      </c>
      <c r="I39" s="21">
        <f>B18</f>
        <v>162203691.34084272</v>
      </c>
      <c r="J39" s="21">
        <f>H18</f>
        <v>153784874.97985131</v>
      </c>
      <c r="K39" s="21">
        <f>N18</f>
        <v>166323185.86682031</v>
      </c>
      <c r="L39" s="22" t="s">
        <v>65</v>
      </c>
    </row>
    <row r="40" spans="1:19">
      <c r="A40" s="13">
        <f>DATE(2026,2,1)</f>
        <v>46054</v>
      </c>
      <c r="B40" s="14">
        <f>B7*Varsayımlar!$B$11</f>
        <v>592912.80091721751</v>
      </c>
      <c r="C40" s="14">
        <f>H7*Varsayımlar!$C$11</f>
        <v>453674.48004019778</v>
      </c>
      <c r="D40" s="14">
        <f>N7*Varsayımlar!$D$11</f>
        <v>796590.77171157196</v>
      </c>
      <c r="H40" s="20" t="s">
        <v>66</v>
      </c>
      <c r="I40" s="21">
        <f>F18</f>
        <v>19464442.960901126</v>
      </c>
      <c r="J40" s="21">
        <f>L18</f>
        <v>9227092.49879108</v>
      </c>
      <c r="K40" s="21">
        <f>R18</f>
        <v>26611709.738691244</v>
      </c>
      <c r="L40" s="22" t="s">
        <v>65</v>
      </c>
    </row>
    <row r="41" spans="1:19">
      <c r="A41" s="13">
        <f>DATE(2026,3,1)</f>
        <v>46082</v>
      </c>
      <c r="B41" s="14">
        <f>B8*Varsayımlar!$B$11</f>
        <v>596265.21609565709</v>
      </c>
      <c r="C41" s="14">
        <f>H8*Varsayımlar!$C$11</f>
        <v>452524.39317843877</v>
      </c>
      <c r="D41" s="14">
        <f>N8*Varsayımlar!$D$11</f>
        <v>804149.45659794286</v>
      </c>
      <c r="H41" s="20" t="s">
        <v>49</v>
      </c>
      <c r="I41" s="35">
        <f>G18</f>
        <v>0.12</v>
      </c>
      <c r="J41" s="35">
        <f>M18</f>
        <v>6.0000000000000012E-2</v>
      </c>
      <c r="K41" s="35">
        <f>S18</f>
        <v>0.15999999999999998</v>
      </c>
      <c r="L41" s="22" t="s">
        <v>67</v>
      </c>
    </row>
    <row r="42" spans="1:19">
      <c r="A42" s="13">
        <f>DATE(2026,4,1)</f>
        <v>46113</v>
      </c>
      <c r="B42" s="14">
        <f>B9*Varsayımlar!$B$11</f>
        <v>599636.58631691453</v>
      </c>
      <c r="C42" s="14">
        <f>H9*Varsayımlar!$C$11</f>
        <v>451377.22184278449</v>
      </c>
      <c r="D42" s="14">
        <f>N9*Varsayımlar!$D$11</f>
        <v>811779.86428005819</v>
      </c>
      <c r="H42" s="20" t="s">
        <v>68</v>
      </c>
      <c r="I42" s="21">
        <f>B51</f>
        <v>7299166.1103379251</v>
      </c>
      <c r="J42" s="21">
        <f>C51</f>
        <v>5382470.6242947951</v>
      </c>
      <c r="K42" s="21">
        <f>D51</f>
        <v>9979391.1520092189</v>
      </c>
      <c r="L42" s="22" t="s">
        <v>65</v>
      </c>
    </row>
    <row r="43" spans="1:19">
      <c r="A43" s="13">
        <f>DATE(2026,5,1)</f>
        <v>46143</v>
      </c>
      <c r="B43" s="14">
        <f>B10*Varsayımlar!$B$11</f>
        <v>603027.01875555771</v>
      </c>
      <c r="C43" s="14">
        <f>H10*Varsayımlar!$C$11</f>
        <v>450232.95864223444</v>
      </c>
      <c r="D43" s="14">
        <f>N10*Varsayımlar!$D$11</f>
        <v>819482.67532067548</v>
      </c>
      <c r="H43" s="20" t="s">
        <v>69</v>
      </c>
      <c r="I43" s="21">
        <f>F35</f>
        <v>2832280.4815936089</v>
      </c>
      <c r="J43" s="21">
        <f>L35</f>
        <v>8848569.2840069607</v>
      </c>
      <c r="K43" s="21">
        <f>R35</f>
        <v>-2813315.5057263561</v>
      </c>
      <c r="L43" s="22" t="s">
        <v>65</v>
      </c>
    </row>
    <row r="44" spans="1:19">
      <c r="A44" s="13">
        <f>DATE(2026,6,1)</f>
        <v>46174</v>
      </c>
      <c r="B44" s="14">
        <f>B11*Varsayımlar!$B$11</f>
        <v>606436.62119213527</v>
      </c>
      <c r="C44" s="14">
        <f>H11*Varsayımlar!$C$11</f>
        <v>449091.59620452492</v>
      </c>
      <c r="D44" s="14">
        <f>N11*Varsayımlar!$D$11</f>
        <v>827258.57674027153</v>
      </c>
      <c r="H44" s="26" t="s">
        <v>70</v>
      </c>
      <c r="I44" s="27">
        <f>G35</f>
        <v>4466885.6287443144</v>
      </c>
      <c r="J44" s="27">
        <f>M35</f>
        <v>-7310720.5342084467</v>
      </c>
      <c r="K44" s="27">
        <f>S35</f>
        <v>12792706.657735573</v>
      </c>
      <c r="L44" s="28" t="s">
        <v>65</v>
      </c>
    </row>
    <row r="45" spans="1:19">
      <c r="A45" s="13">
        <f>DATE(2026,7,1)</f>
        <v>46204</v>
      </c>
      <c r="B45" s="14">
        <f>B12*Varsayımlar!$B$11</f>
        <v>609865.50201660232</v>
      </c>
      <c r="C45" s="14">
        <f>H12*Varsayımlar!$C$11</f>
        <v>447953.12717608095</v>
      </c>
      <c r="D45" s="14">
        <f>N12*Varsayımlar!$D$11</f>
        <v>835108.26207831793</v>
      </c>
      <c r="H45" s="26" t="s">
        <v>71</v>
      </c>
      <c r="I45" s="27">
        <f>NPV(Varsayımlar!B13,G23:G34)</f>
        <v>4101509.995346948</v>
      </c>
      <c r="J45" s="27">
        <f>NPV(Varsayımlar!C13,M23:M34)</f>
        <v>-7397783.6600425821</v>
      </c>
      <c r="K45" s="27">
        <f>NPV(Varsayımlar!D13,S23:S34)</f>
        <v>12211872.294713728</v>
      </c>
      <c r="L45" s="28" t="s">
        <v>65</v>
      </c>
    </row>
    <row r="46" spans="1:19">
      <c r="A46" s="13">
        <f>DATE(2026,8,1)</f>
        <v>46235</v>
      </c>
      <c r="B46" s="14">
        <f>B13*Varsayımlar!$B$11</f>
        <v>613313.77023176709</v>
      </c>
      <c r="C46" s="14">
        <f>H13*Varsayımlar!$C$11</f>
        <v>446817.54422196944</v>
      </c>
      <c r="D46" s="14">
        <f>N13*Varsayımlar!$D$11</f>
        <v>843032.43145513861</v>
      </c>
    </row>
    <row r="47" spans="1:19">
      <c r="A47" s="13">
        <f>DATE(2026,9,1)</f>
        <v>46266</v>
      </c>
      <c r="B47" s="14">
        <f>B14*Varsayımlar!$B$11</f>
        <v>616781.5354567552</v>
      </c>
      <c r="C47" s="14">
        <f>H14*Varsayımlar!$C$11</f>
        <v>445684.84002585162</v>
      </c>
      <c r="D47" s="14">
        <f>N14*Varsayımlar!$D$11</f>
        <v>851031.79163435451</v>
      </c>
      <c r="H47" s="38" t="s">
        <v>72</v>
      </c>
      <c r="I47" s="38"/>
      <c r="J47" s="38"/>
      <c r="K47" s="38"/>
      <c r="L47" s="38"/>
      <c r="M47" s="38"/>
      <c r="N47" s="38"/>
    </row>
    <row r="48" spans="1:19">
      <c r="A48" s="13">
        <f>DATE(2026,10,1)</f>
        <v>46296</v>
      </c>
      <c r="B48" s="14">
        <f>B15*Varsayımlar!$B$11</f>
        <v>620268.90793049475</v>
      </c>
      <c r="C48" s="14">
        <f>H15*Varsayımlar!$C$11</f>
        <v>444555.00728993607</v>
      </c>
      <c r="D48" s="14">
        <f>N15*Varsayımlar!$D$11</f>
        <v>859107.05608592008</v>
      </c>
      <c r="H48" s="29" t="s">
        <v>73</v>
      </c>
      <c r="I48" s="29"/>
      <c r="J48" s="30">
        <v>0.3</v>
      </c>
      <c r="K48" s="30">
        <v>0.34</v>
      </c>
      <c r="L48" s="30">
        <v>0.38</v>
      </c>
      <c r="M48" s="30">
        <v>0.41</v>
      </c>
      <c r="N48" s="30">
        <v>0.44</v>
      </c>
    </row>
    <row r="49" spans="1:14">
      <c r="A49" s="13">
        <f>DATE(2026,11,1)</f>
        <v>46327</v>
      </c>
      <c r="B49" s="14">
        <f>B16*Varsayımlar!$B$11</f>
        <v>623775.99851522094</v>
      </c>
      <c r="C49" s="14">
        <f>H16*Varsayımlar!$C$11</f>
        <v>443428.03873493156</v>
      </c>
      <c r="D49" s="14">
        <f>N16*Varsayımlar!$D$11</f>
        <v>867258.94504975865</v>
      </c>
      <c r="H49" s="31">
        <v>-0.05</v>
      </c>
      <c r="I49" s="31"/>
      <c r="J49" s="21" cm="1">
        <f t="array" ref="J49">_xlfn.LET(_xlpm.baslangicGelir,Gerçekleşen!B40,_xlpm.g,$H49,_xlpm.bm,J$48,_xlpm.faaliyetOrani,Varsayımlar!$B$7,_xlpm.vergiOrani,Varsayımlar!$B$12,_xlpm.capexOrani,Varsayımlar!$B$11,_xlpm.dso,Varsayımlar!$B$8,_xlpm.stokGunu,Varsayımlar!$B$9,_xlpm.borcGunu,Varsayımlar!$B$10,_xlpm.oncekiGelir,Gerçekleşen!B40*12,_xlpm.aylikBuyume,(1+_xlpm.g)^(1/12),_xlpm.yillikGelir,_xlpm.baslangicGelir*_xlpm.aylikBuyume*(_xlpm.aylikBuyume^12-1)/(_xlpm.aylikBuyume-1)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-1360945.562987484</v>
      </c>
      <c r="K49" s="21" cm="1">
        <f t="array" ref="K49">_xlfn.LET(_xlpm.baslangicGelir,Gerçekleşen!B40,_xlpm.g,$H49,_xlpm.bm,K$48,_xlpm.faaliyetOrani,Varsayımlar!$B$7,_xlpm.vergiOrani,Varsayımlar!$B$12,_xlpm.capexOrani,Varsayımlar!$B$11,_xlpm.dso,Varsayımlar!$B$8,_xlpm.stokGunu,Varsayımlar!$B$9,_xlpm.borcGunu,Varsayımlar!$B$10,_xlpm.oncekiGelir,Gerçekleşen!B40*12,_xlpm.aylikBuyume,(1+_xlpm.g)^(1/12),_xlpm.yillikGelir,_xlpm.baslangicGelir*_xlpm.aylikBuyume*(_xlpm.aylikBuyume^12-1)/(_xlpm.aylikBuyume-1)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3186653.2190168845</v>
      </c>
      <c r="L49" s="21" cm="1">
        <f t="array" ref="L49">_xlfn.LET(_xlpm.baslangicGelir,Gerçekleşen!B40,_xlpm.g,$H49,_xlpm.bm,L$48,_xlpm.faaliyetOrani,Varsayımlar!$B$7,_xlpm.vergiOrani,Varsayımlar!$B$12,_xlpm.capexOrani,Varsayımlar!$B$11,_xlpm.dso,Varsayımlar!$B$8,_xlpm.stokGunu,Varsayımlar!$B$9,_xlpm.borcGunu,Varsayımlar!$B$10,_xlpm.oncekiGelir,Gerçekleşen!B40*12,_xlpm.aylikBuyume,(1+_xlpm.g)^(1/12),_xlpm.yillikGelir,_xlpm.baslangicGelir*_xlpm.aylikBuyume*(_xlpm.aylikBuyume^12-1)/(_xlpm.aylikBuyume-1)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7734252.0010212464</v>
      </c>
      <c r="M49" s="21" cm="1">
        <f t="array" ref="M49">_xlfn.LET(_xlpm.baslangicGelir,Gerçekleşen!B40,_xlpm.g,$H49,_xlpm.bm,M$48,_xlpm.faaliyetOrani,Varsayımlar!$B$7,_xlpm.vergiOrani,Varsayımlar!$B$12,_xlpm.capexOrani,Varsayımlar!$B$11,_xlpm.dso,Varsayımlar!$B$8,_xlpm.stokGunu,Varsayımlar!$B$9,_xlpm.borcGunu,Varsayımlar!$B$10,_xlpm.oncekiGelir,Gerçekleşen!B40*12,_xlpm.aylikBuyume,(1+_xlpm.g)^(1/12),_xlpm.yillikGelir,_xlpm.baslangicGelir*_xlpm.aylikBuyume*(_xlpm.aylikBuyume^12-1)/(_xlpm.aylikBuyume-1)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11144951.087524515</v>
      </c>
      <c r="N49" s="21" cm="1">
        <f t="array" ref="N49">_xlfn.LET(_xlpm.baslangicGelir,Gerçekleşen!B40,_xlpm.g,$H49,_xlpm.bm,N$48,_xlpm.faaliyetOrani,Varsayımlar!$B$7,_xlpm.vergiOrani,Varsayımlar!$B$12,_xlpm.capexOrani,Varsayımlar!$B$11,_xlpm.dso,Varsayımlar!$B$8,_xlpm.stokGunu,Varsayımlar!$B$9,_xlpm.borcGunu,Varsayımlar!$B$10,_xlpm.oncekiGelir,Gerçekleşen!B40*12,_xlpm.aylikBuyume,(1+_xlpm.g)^(1/12),_xlpm.yillikGelir,_xlpm.baslangicGelir*_xlpm.aylikBuyume*(_xlpm.aylikBuyume^12-1)/(_xlpm.aylikBuyume-1)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14555650.174027793</v>
      </c>
    </row>
    <row r="50" spans="1:14">
      <c r="A50" s="13">
        <f>DATE(2026,12,1)</f>
        <v>46357</v>
      </c>
      <c r="B50" s="14">
        <f>B17*Varsayımlar!$B$11</f>
        <v>627302.91869999992</v>
      </c>
      <c r="C50" s="14">
        <f>H17*Varsayımlar!$C$11</f>
        <v>442303.92710000026</v>
      </c>
      <c r="D50" s="14">
        <f>N17*Varsayımlar!$D$11</f>
        <v>875488.18560000078</v>
      </c>
      <c r="H50" s="31">
        <v>-0.03</v>
      </c>
      <c r="I50" s="31"/>
      <c r="J50" s="21" cm="1">
        <f t="array" ref="J50">_xlfn.LET(_xlpm.baslangicGelir,Gerçekleşen!B40,_xlpm.g,$H50,_xlpm.bm,J$48,_xlpm.faaliyetOrani,Varsayımlar!$B$7,_xlpm.vergiOrani,Varsayımlar!$B$12,_xlpm.capexOrani,Varsayımlar!$B$11,_xlpm.dso,Varsayımlar!$B$8,_xlpm.stokGunu,Varsayımlar!$B$9,_xlpm.borcGunu,Varsayımlar!$B$10,_xlpm.oncekiGelir,Gerçekleşen!B40*12,_xlpm.aylikBuyume,(1+_xlpm.g)^(1/12),_xlpm.yillikGelir,_xlpm.baslangicGelir*_xlpm.aylikBuyume*(_xlpm.aylikBuyume^12-1)/(_xlpm.aylikBuyume-1)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-1756455.0691201799</v>
      </c>
      <c r="K50" s="21" cm="1">
        <f t="array" ref="K50">_xlfn.LET(_xlpm.baslangicGelir,Gerçekleşen!B40,_xlpm.g,$H50,_xlpm.bm,K$48,_xlpm.faaliyetOrani,Varsayımlar!$B$7,_xlpm.vergiOrani,Varsayımlar!$B$12,_xlpm.capexOrani,Varsayımlar!$B$11,_xlpm.dso,Varsayımlar!$B$8,_xlpm.stokGunu,Varsayımlar!$B$9,_xlpm.borcGunu,Varsayımlar!$B$10,_xlpm.oncekiGelir,Gerçekleşen!B40*12,_xlpm.aylikBuyume,(1+_xlpm.g)^(1/12),_xlpm.yillikGelir,_xlpm.baslangicGelir*_xlpm.aylikBuyume*(_xlpm.aylikBuyume^12-1)/(_xlpm.aylikBuyume-1)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2848420.3494123463</v>
      </c>
      <c r="L50" s="21" cm="1">
        <f t="array" ref="L50">_xlfn.LET(_xlpm.baslangicGelir,Gerçekleşen!B40,_xlpm.g,$H50,_xlpm.bm,L$48,_xlpm.faaliyetOrani,Varsayımlar!$B$7,_xlpm.vergiOrani,Varsayımlar!$B$12,_xlpm.capexOrani,Varsayımlar!$B$11,_xlpm.dso,Varsayımlar!$B$8,_xlpm.stokGunu,Varsayımlar!$B$9,_xlpm.borcGunu,Varsayımlar!$B$10,_xlpm.oncekiGelir,Gerçekleşen!B40*12,_xlpm.aylikBuyume,(1+_xlpm.g)^(1/12),_xlpm.yillikGelir,_xlpm.baslangicGelir*_xlpm.aylikBuyume*(_xlpm.aylikBuyume^12-1)/(_xlpm.aylikBuyume-1)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7453295.7679448631</v>
      </c>
      <c r="M50" s="21" cm="1">
        <f t="array" ref="M50">_xlfn.LET(_xlpm.baslangicGelir,Gerçekleşen!B40,_xlpm.g,$H50,_xlpm.bm,M$48,_xlpm.faaliyetOrani,Varsayımlar!$B$7,_xlpm.vergiOrani,Varsayımlar!$B$12,_xlpm.capexOrani,Varsayımlar!$B$11,_xlpm.dso,Varsayımlar!$B$8,_xlpm.stokGunu,Varsayımlar!$B$9,_xlpm.borcGunu,Varsayımlar!$B$10,_xlpm.oncekiGelir,Gerçekleşen!B40*12,_xlpm.aylikBuyume,(1+_xlpm.g)^(1/12),_xlpm.yillikGelir,_xlpm.baslangicGelir*_xlpm.aylikBuyume*(_xlpm.aylikBuyume^12-1)/(_xlpm.aylikBuyume-1)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10906952.331844248</v>
      </c>
      <c r="N50" s="21" cm="1">
        <f t="array" ref="N50">_xlfn.LET(_xlpm.baslangicGelir,Gerçekleşen!B40,_xlpm.g,$H50,_xlpm.bm,N$48,_xlpm.faaliyetOrani,Varsayımlar!$B$7,_xlpm.vergiOrani,Varsayımlar!$B$12,_xlpm.capexOrani,Varsayımlar!$B$11,_xlpm.dso,Varsayımlar!$B$8,_xlpm.stokGunu,Varsayımlar!$B$9,_xlpm.borcGunu,Varsayımlar!$B$10,_xlpm.oncekiGelir,Gerçekleşen!B40*12,_xlpm.aylikBuyume,(1+_xlpm.g)^(1/12),_xlpm.yillikGelir,_xlpm.baslangicGelir*_xlpm.aylikBuyume*(_xlpm.aylikBuyume^12-1)/(_xlpm.aylikBuyume-1)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14360608.895743646</v>
      </c>
    </row>
    <row r="51" spans="1:14">
      <c r="A51" s="16" t="s">
        <v>50</v>
      </c>
      <c r="B51" s="17">
        <f>SUM(B39:B50)</f>
        <v>7299166.1103379251</v>
      </c>
      <c r="C51" s="17">
        <f>SUM(C39:C50)</f>
        <v>5382470.6242947951</v>
      </c>
      <c r="D51" s="17">
        <f>SUM(D39:D50)</f>
        <v>9979391.1520092189</v>
      </c>
      <c r="H51" s="31">
        <v>0</v>
      </c>
      <c r="I51" s="31"/>
      <c r="J51" s="21" cm="1">
        <f t="array" ref="J51">_xlfn.LET(_xlpm.baslangicGelir,Gerçekleşen!B40,_xlpm.g,$H51,_xlpm.bm,J$48,_xlpm.faaliyetOrani,Varsayımlar!$B$7,_xlpm.vergiOrani,Varsayımlar!$B$12,_xlpm.capexOrani,Varsayımlar!$B$11,_xlpm.dso,Varsayımlar!$B$8,_xlpm.stokGunu,Varsayımlar!$B$9,_xlpm.borcGunu,Varsayımlar!$B$10,_xlpm.oncekiGelir,Gerçekleşen!B40*12,_xlpm.yillikGelir,IF(_xlpm.g=0,_xlpm.baslangicGelir*12,_xlpm.baslangicGelir*(1+_xlpm.g)^(1/12)*((1+_xlpm.g)-1)/((1+_xlpm.g)^(1/12)-1)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-2345057.6400000006</v>
      </c>
      <c r="K51" s="21" cm="1">
        <f t="array" ref="K51">_xlfn.LET(_xlpm.baslangicGelir,Gerçekleşen!B40,_xlpm.g,$H51,_xlpm.bm,K$48,_xlpm.faaliyetOrani,Varsayımlar!$B$7,_xlpm.vergiOrani,Varsayımlar!$B$12,_xlpm.capexOrani,Varsayımlar!$B$11,_xlpm.dso,Varsayımlar!$B$8,_xlpm.stokGunu,Varsayımlar!$B$9,_xlpm.borcGunu,Varsayımlar!$B$10,_xlpm.oncekiGelir,Gerçekleşen!B40*12,_xlpm.yillikGelir,IF(_xlpm.g=0,_xlpm.baslangicGelir*12,_xlpm.baslangicGelir*(1+_xlpm.g)^(1/12)*((1+_xlpm.g)-1)/((1+_xlpm.g)^(1/12)-1)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2345057.6400000043</v>
      </c>
      <c r="L51" s="21" cm="1">
        <f t="array" ref="L51">_xlfn.LET(_xlpm.baslangicGelir,Gerçekleşen!B40,_xlpm.g,$H51,_xlpm.bm,L$48,_xlpm.faaliyetOrani,Varsayımlar!$B$7,_xlpm.vergiOrani,Varsayımlar!$B$12,_xlpm.capexOrani,Varsayımlar!$B$11,_xlpm.dso,Varsayımlar!$B$8,_xlpm.stokGunu,Varsayımlar!$B$9,_xlpm.borcGunu,Varsayımlar!$B$10,_xlpm.oncekiGelir,Gerçekleşen!B40*12,_xlpm.yillikGelir,IF(_xlpm.g=0,_xlpm.baslangicGelir*12,_xlpm.baslangicGelir*(1+_xlpm.g)^(1/12)*((1+_xlpm.g)-1)/((1+_xlpm.g)^(1/12)-1)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7035172.9200000037</v>
      </c>
      <c r="M51" s="21" cm="1">
        <f t="array" ref="M51">_xlfn.LET(_xlpm.baslangicGelir,Gerçekleşen!B40,_xlpm.g,$H51,_xlpm.bm,M$48,_xlpm.faaliyetOrani,Varsayımlar!$B$7,_xlpm.vergiOrani,Varsayımlar!$B$12,_xlpm.capexOrani,Varsayımlar!$B$11,_xlpm.dso,Varsayımlar!$B$8,_xlpm.stokGunu,Varsayımlar!$B$9,_xlpm.borcGunu,Varsayımlar!$B$10,_xlpm.oncekiGelir,Gerçekleşen!B40*12,_xlpm.yillikGelir,IF(_xlpm.g=0,_xlpm.baslangicGelir*12,_xlpm.baslangicGelir*(1+_xlpm.g)^(1/12)*((1+_xlpm.g)-1)/((1+_xlpm.g)^(1/12)-1)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10552759.379999997</v>
      </c>
      <c r="N51" s="21" cm="1">
        <f t="array" ref="N51">_xlfn.LET(_xlpm.baslangicGelir,Gerçekleşen!B40,_xlpm.g,$H51,_xlpm.bm,N$48,_xlpm.faaliyetOrani,Varsayımlar!$B$7,_xlpm.vergiOrani,Varsayımlar!$B$12,_xlpm.capexOrani,Varsayımlar!$B$11,_xlpm.dso,Varsayımlar!$B$8,_xlpm.stokGunu,Varsayımlar!$B$9,_xlpm.borcGunu,Varsayımlar!$B$10,_xlpm.oncekiGelir,Gerçekleşen!B40*12,_xlpm.yillikGelir,IF(_xlpm.g=0,_xlpm.baslangicGelir*12,_xlpm.baslangicGelir*(1+_xlpm.g)^(1/12)*((1+_xlpm.g)-1)/((1+_xlpm.g)^(1/12)-1)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14070345.839999998</v>
      </c>
    </row>
    <row r="52" spans="1:14">
      <c r="H52" s="31">
        <v>0.05</v>
      </c>
      <c r="I52" s="31"/>
      <c r="J52" s="21" cm="1">
        <f t="array" ref="J52">_xlfn.LET(_xlpm.baslangicGelir,Gerçekleşen!B40,_xlpm.g,$H52,_xlpm.bm,J$48,_xlpm.faaliyetOrani,Varsayımlar!$B$7,_xlpm.vergiOrani,Varsayımlar!$B$12,_xlpm.capexOrani,Varsayımlar!$B$11,_xlpm.dso,Varsayımlar!$B$8,_xlpm.stokGunu,Varsayımlar!$B$9,_xlpm.borcGunu,Varsayımlar!$B$10,_xlpm.oncekiGelir,Gerçekleşen!B40*12,_xlpm.aylikBuyume,(1+_xlpm.g)^(1/12),_xlpm.yillikGelir,_xlpm.baslangicGelir*_xlpm.aylikBuyume*(_xlpm.aylikBuyume^12-1)/(_xlpm.aylikBuyume-1)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-3314239.7500551841</v>
      </c>
      <c r="K52" s="21" cm="1">
        <f t="array" ref="K52">_xlfn.LET(_xlpm.baslangicGelir,Gerçekleşen!B40,_xlpm.g,$H52,_xlpm.bm,K$48,_xlpm.faaliyetOrani,Varsayımlar!$B$7,_xlpm.vergiOrani,Varsayımlar!$B$12,_xlpm.capexOrani,Varsayımlar!$B$11,_xlpm.dso,Varsayımlar!$B$8,_xlpm.stokGunu,Varsayımlar!$B$9,_xlpm.borcGunu,Varsayımlar!$B$10,_xlpm.oncekiGelir,Gerçekleşen!B40*12,_xlpm.aylikBuyume,(1+_xlpm.g)^(1/12),_xlpm.yillikGelir,_xlpm.baslangicGelir*_xlpm.aylikBuyume*(_xlpm.aylikBuyume^12-1)/(_xlpm.aylikBuyume-1)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1516229.9097674824</v>
      </c>
      <c r="L52" s="21" cm="1">
        <f t="array" ref="L52">_xlfn.LET(_xlpm.baslangicGelir,Gerçekleşen!B40,_xlpm.g,$H52,_xlpm.bm,L$48,_xlpm.faaliyetOrani,Varsayımlar!$B$7,_xlpm.vergiOrani,Varsayımlar!$B$12,_xlpm.capexOrani,Varsayımlar!$B$11,_xlpm.dso,Varsayımlar!$B$8,_xlpm.stokGunu,Varsayımlar!$B$9,_xlpm.borcGunu,Varsayımlar!$B$10,_xlpm.oncekiGelir,Gerçekleşen!B40*12,_xlpm.aylikBuyume,(1+_xlpm.g)^(1/12),_xlpm.yillikGelir,_xlpm.baslangicGelir*_xlpm.aylikBuyume*(_xlpm.aylikBuyume^12-1)/(_xlpm.aylikBuyume-1)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6346699.5695901401</v>
      </c>
      <c r="M52" s="21" cm="1">
        <f t="array" ref="M52">_xlfn.LET(_xlpm.baslangicGelir,Gerçekleşen!B40,_xlpm.g,$H52,_xlpm.bm,M$48,_xlpm.faaliyetOrani,Varsayımlar!$B$7,_xlpm.vergiOrani,Varsayımlar!$B$12,_xlpm.capexOrani,Varsayımlar!$B$11,_xlpm.dso,Varsayımlar!$B$8,_xlpm.stokGunu,Varsayımlar!$B$9,_xlpm.borcGunu,Varsayımlar!$B$10,_xlpm.oncekiGelir,Gerçekleşen!B40*12,_xlpm.aylikBuyume,(1+_xlpm.g)^(1/12),_xlpm.yillikGelir,_xlpm.baslangicGelir*_xlpm.aylikBuyume*(_xlpm.aylikBuyume^12-1)/(_xlpm.aylikBuyume-1)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9969551.8144571334</v>
      </c>
      <c r="N52" s="21" cm="1">
        <f t="array" ref="N52">_xlfn.LET(_xlpm.baslangicGelir,Gerçekleşen!B40,_xlpm.g,$H52,_xlpm.bm,N$48,_xlpm.faaliyetOrani,Varsayımlar!$B$7,_xlpm.vergiOrani,Varsayımlar!$B$12,_xlpm.capexOrani,Varsayımlar!$B$11,_xlpm.dso,Varsayımlar!$B$8,_xlpm.stokGunu,Varsayımlar!$B$9,_xlpm.borcGunu,Varsayımlar!$B$10,_xlpm.oncekiGelir,Gerçekleşen!B40*12,_xlpm.aylikBuyume,(1+_xlpm.g)^(1/12),_xlpm.yillikGelir,_xlpm.baslangicGelir*_xlpm.aylikBuyume*(_xlpm.aylikBuyume^12-1)/(_xlpm.aylikBuyume-1)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13592404.05932413</v>
      </c>
    </row>
    <row r="53" spans="1:14">
      <c r="H53" s="31">
        <v>7.0000000000000007E-2</v>
      </c>
      <c r="I53" s="31"/>
      <c r="J53" s="21" cm="1">
        <f t="array" ref="J53">_xlfn.LET(_xlpm.baslangicGelir,Gerçekleşen!B40,_xlpm.g,$H53,_xlpm.bm,J$48,_xlpm.faaliyetOrani,Varsayımlar!$B$7,_xlpm.vergiOrani,Varsayımlar!$B$12,_xlpm.capexOrani,Varsayımlar!$B$11,_xlpm.dso,Varsayımlar!$B$8,_xlpm.stokGunu,Varsayımlar!$B$9,_xlpm.borcGunu,Varsayımlar!$B$10,_xlpm.oncekiGelir,Gerçekleşen!B40*12,_xlpm.aylikBuyume,(1+_xlpm.g)^(1/12),_xlpm.yillikGelir,_xlpm.baslangicGelir*_xlpm.aylikBuyume*(_xlpm.aylikBuyume^12-1)/(_xlpm.aylikBuyume-1)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-3697972.5134670092</v>
      </c>
      <c r="K53" s="21" cm="1">
        <f t="array" ref="K53">_xlfn.LET(_xlpm.baslangicGelir,Gerçekleşen!B40,_xlpm.g,$H53,_xlpm.bm,K$48,_xlpm.faaliyetOrani,Varsayımlar!$B$7,_xlpm.vergiOrani,Varsayımlar!$B$12,_xlpm.capexOrani,Varsayımlar!$B$11,_xlpm.dso,Varsayımlar!$B$8,_xlpm.stokGunu,Varsayımlar!$B$9,_xlpm.borcGunu,Varsayımlar!$B$10,_xlpm.oncekiGelir,Gerçekleşen!B40*12,_xlpm.aylikBuyume,(1+_xlpm.g)^(1/12),_xlpm.yillikGelir,_xlpm.baslangicGelir*_xlpm.aylikBuyume*(_xlpm.aylikBuyume^12-1)/(_xlpm.aylikBuyume-1)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1188068.3062723791</v>
      </c>
      <c r="L53" s="21" cm="1">
        <f t="array" ref="L53">_xlfn.LET(_xlpm.baslangicGelir,Gerçekleşen!B40,_xlpm.g,$H53,_xlpm.bm,L$48,_xlpm.faaliyetOrani,Varsayımlar!$B$7,_xlpm.vergiOrani,Varsayımlar!$B$12,_xlpm.capexOrani,Varsayımlar!$B$11,_xlpm.dso,Varsayımlar!$B$8,_xlpm.stokGunu,Varsayımlar!$B$9,_xlpm.borcGunu,Varsayımlar!$B$10,_xlpm.oncekiGelir,Gerçekleşen!B40*12,_xlpm.aylikBuyume,(1+_xlpm.g)^(1/12),_xlpm.yillikGelir,_xlpm.baslangicGelir*_xlpm.aylikBuyume*(_xlpm.aylikBuyume^12-1)/(_xlpm.aylikBuyume-1)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6074109.1260117656</v>
      </c>
      <c r="M53" s="21" cm="1">
        <f t="array" ref="M53">_xlfn.LET(_xlpm.baslangicGelir,Gerçekleşen!B40,_xlpm.g,$H53,_xlpm.bm,M$48,_xlpm.faaliyetOrani,Varsayımlar!$B$7,_xlpm.vergiOrani,Varsayımlar!$B$12,_xlpm.capexOrani,Varsayımlar!$B$11,_xlpm.dso,Varsayımlar!$B$8,_xlpm.stokGunu,Varsayımlar!$B$9,_xlpm.borcGunu,Varsayımlar!$B$10,_xlpm.oncekiGelir,Gerçekleşen!B40*12,_xlpm.aylikBuyume,(1+_xlpm.g)^(1/12),_xlpm.yillikGelir,_xlpm.baslangicGelir*_xlpm.aylikBuyume*(_xlpm.aylikBuyume^12-1)/(_xlpm.aylikBuyume-1)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9738639.7408162989</v>
      </c>
      <c r="N53" s="21" cm="1">
        <f t="array" ref="N53">_xlfn.LET(_xlpm.baslangicGelir,Gerçekleşen!B40,_xlpm.g,$H53,_xlpm.bm,N$48,_xlpm.faaliyetOrani,Varsayımlar!$B$7,_xlpm.vergiOrani,Varsayımlar!$B$12,_xlpm.capexOrani,Varsayımlar!$B$11,_xlpm.dso,Varsayımlar!$B$8,_xlpm.stokGunu,Varsayımlar!$B$9,_xlpm.borcGunu,Varsayımlar!$B$10,_xlpm.oncekiGelir,Gerçekleşen!B40*12,_xlpm.aylikBuyume,(1+_xlpm.g)^(1/12),_xlpm.yillikGelir,_xlpm.baslangicGelir*_xlpm.aylikBuyume*(_xlpm.aylikBuyume^12-1)/(_xlpm.aylikBuyume-1)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13403170.355620835</v>
      </c>
    </row>
    <row r="54" spans="1:14">
      <c r="H54" s="31">
        <v>0.1</v>
      </c>
      <c r="I54" s="31"/>
      <c r="J54" s="21" cm="1">
        <f t="array" ref="J54">_xlfn.LET(_xlpm.baslangicGelir,Gerçekleşen!B40,_xlpm.g,$H54,_xlpm.bm,J$48,_xlpm.faaliyetOrani,Varsayımlar!$B$7,_xlpm.vergiOrani,Varsayımlar!$B$12,_xlpm.capexOrani,Varsayımlar!$B$11,_xlpm.dso,Varsayımlar!$B$8,_xlpm.stokGunu,Varsayımlar!$B$9,_xlpm.borcGunu,Varsayımlar!$B$10,_xlpm.oncekiGelir,Gerçekleşen!B40*12,_xlpm.aylikBuyume,(1+_xlpm.g)^(1/12),_xlpm.yillikGelir,_xlpm.baslangicGelir*_xlpm.aylikBuyume*(_xlpm.aylikBuyume^12-1)/(_xlpm.aylikBuyume-1)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-4269545.7660519714</v>
      </c>
      <c r="K54" s="21" cm="1">
        <f t="array" ref="K54">_xlfn.LET(_xlpm.baslangicGelir,Gerçekleşen!B40,_xlpm.g,$H54,_xlpm.bm,K$48,_xlpm.faaliyetOrani,Varsayımlar!$B$7,_xlpm.vergiOrani,Varsayımlar!$B$12,_xlpm.capexOrani,Varsayımlar!$B$11,_xlpm.dso,Varsayımlar!$B$8,_xlpm.stokGunu,Varsayımlar!$B$9,_xlpm.borcGunu,Varsayımlar!$B$10,_xlpm.oncekiGelir,Gerçekleşen!B40*12,_xlpm.aylikBuyume,(1+_xlpm.g)^(1/12),_xlpm.yillikGelir,_xlpm.baslangicGelir*_xlpm.aylikBuyume*(_xlpm.aylikBuyume^12-1)/(_xlpm.aylikBuyume-1)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699268.77449538652</v>
      </c>
      <c r="L54" s="21" cm="1">
        <f t="array" ref="L54">_xlfn.LET(_xlpm.baslangicGelir,Gerçekleşen!B40,_xlpm.g,$H54,_xlpm.bm,L$48,_xlpm.faaliyetOrani,Varsayımlar!$B$7,_xlpm.vergiOrani,Varsayımlar!$B$12,_xlpm.capexOrani,Varsayımlar!$B$11,_xlpm.dso,Varsayımlar!$B$8,_xlpm.stokGunu,Varsayımlar!$B$9,_xlpm.borcGunu,Varsayımlar!$B$10,_xlpm.oncekiGelir,Gerçekleşen!B40*12,_xlpm.aylikBuyume,(1+_xlpm.g)^(1/12),_xlpm.yillikGelir,_xlpm.baslangicGelir*_xlpm.aylikBuyume*(_xlpm.aylikBuyume^12-1)/(_xlpm.aylikBuyume-1)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5668083.3150427388</v>
      </c>
      <c r="M54" s="21" cm="1">
        <f t="array" ref="M54">_xlfn.LET(_xlpm.baslangicGelir,Gerçekleşen!B40,_xlpm.g,$H54,_xlpm.bm,M$48,_xlpm.faaliyetOrani,Varsayımlar!$B$7,_xlpm.vergiOrani,Varsayımlar!$B$12,_xlpm.capexOrani,Varsayımlar!$B$11,_xlpm.dso,Varsayımlar!$B$8,_xlpm.stokGunu,Varsayımlar!$B$9,_xlpm.borcGunu,Varsayımlar!$B$10,_xlpm.oncekiGelir,Gerçekleşen!B40*12,_xlpm.aylikBuyume,(1+_xlpm.g)^(1/12),_xlpm.yillikGelir,_xlpm.baslangicGelir*_xlpm.aylikBuyume*(_xlpm.aylikBuyume^12-1)/(_xlpm.aylikBuyume-1)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9394694.2204532474</v>
      </c>
      <c r="N54" s="21" cm="1">
        <f t="array" ref="N54">_xlfn.LET(_xlpm.baslangicGelir,Gerçekleşen!B40,_xlpm.g,$H54,_xlpm.bm,N$48,_xlpm.faaliyetOrani,Varsayımlar!$B$7,_xlpm.vergiOrani,Varsayımlar!$B$12,_xlpm.capexOrani,Varsayımlar!$B$11,_xlpm.dso,Varsayımlar!$B$8,_xlpm.stokGunu,Varsayımlar!$B$9,_xlpm.borcGunu,Varsayımlar!$B$10,_xlpm.oncekiGelir,Gerçekleşen!B40*12,_xlpm.aylikBuyume,(1+_xlpm.g)^(1/12),_xlpm.yillikGelir,_xlpm.baslangicGelir*_xlpm.aylikBuyume*(_xlpm.aylikBuyume^12-1)/(_xlpm.aylikBuyume-1)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13121305.125863772</v>
      </c>
    </row>
    <row r="55" spans="1:14">
      <c r="H55" s="31">
        <v>0.12</v>
      </c>
      <c r="I55" s="31"/>
      <c r="J55" s="21" cm="1">
        <f t="array" ref="J55">_xlfn.LET(_xlpm.baslangicGelir,Gerçekleşen!B40,_xlpm.g,$H55,_xlpm.bm,J$48,_xlpm.faaliyetOrani,Varsayımlar!$B$7,_xlpm.vergiOrani,Varsayımlar!$B$12,_xlpm.capexOrani,Varsayımlar!$B$11,_xlpm.dso,Varsayımlar!$B$8,_xlpm.stokGunu,Varsayımlar!$B$9,_xlpm.borcGunu,Varsayımlar!$B$10,_xlpm.oncekiGelir,Gerçekleşen!B40*12,_xlpm.aylikBuyume,(1+_xlpm.g)^(1/12),_xlpm.yillikGelir,_xlpm.baslangicGelir*_xlpm.aylikBuyume*(_xlpm.aylikBuyume^12-1)/(_xlpm.aylikBuyume-1)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-4647995.6688757716</v>
      </c>
      <c r="K55" s="21" cm="1">
        <f t="array" ref="K55">_xlfn.LET(_xlpm.baslangicGelir,Gerçekleşen!B40,_xlpm.g,$H55,_xlpm.bm,K$48,_xlpm.faaliyetOrani,Varsayımlar!$B$7,_xlpm.vergiOrani,Varsayımlar!$B$12,_xlpm.capexOrani,Varsayımlar!$B$11,_xlpm.dso,Varsayımlar!$B$8,_xlpm.stokGunu,Varsayımlar!$B$9,_xlpm.borcGunu,Varsayımlar!$B$10,_xlpm.oncekiGelir,Gerçekleşen!B40*12,_xlpm.aylikBuyume,(1+_xlpm.g)^(1/12),_xlpm.yillikGelir,_xlpm.baslangicGelir*_xlpm.aylikBuyume*(_xlpm.aylikBuyume^12-1)/(_xlpm.aylikBuyume-1)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375624.98174491338</v>
      </c>
      <c r="L55" s="21" cm="1">
        <f t="array" ref="L55">_xlfn.LET(_xlpm.baslangicGelir,Gerçekleşen!B40,_xlpm.g,$H55,_xlpm.bm,L$48,_xlpm.faaliyetOrani,Varsayımlar!$B$7,_xlpm.vergiOrani,Varsayımlar!$B$12,_xlpm.capexOrani,Varsayımlar!$B$11,_xlpm.dso,Varsayımlar!$B$8,_xlpm.stokGunu,Varsayımlar!$B$9,_xlpm.borcGunu,Varsayımlar!$B$10,_xlpm.oncekiGelir,Gerçekleşen!B40*12,_xlpm.aylikBuyume,(1+_xlpm.g)^(1/12),_xlpm.yillikGelir,_xlpm.baslangicGelir*_xlpm.aylikBuyume*(_xlpm.aylikBuyume^12-1)/(_xlpm.aylikBuyume-1)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5399245.6323655881</v>
      </c>
      <c r="M55" s="21" cm="1">
        <f t="array" ref="M55">_xlfn.LET(_xlpm.baslangicGelir,Gerçekleşen!B40,_xlpm.g,$H55,_xlpm.bm,M$48,_xlpm.faaliyetOrani,Varsayımlar!$B$7,_xlpm.vergiOrani,Varsayımlar!$B$12,_xlpm.capexOrani,Varsayımlar!$B$11,_xlpm.dso,Varsayımlar!$B$8,_xlpm.stokGunu,Varsayımlar!$B$9,_xlpm.borcGunu,Varsayımlar!$B$10,_xlpm.oncekiGelir,Gerçekleşen!B40*12,_xlpm.aylikBuyume,(1+_xlpm.g)^(1/12),_xlpm.yillikGelir,_xlpm.baslangicGelir*_xlpm.aylikBuyume*(_xlpm.aylikBuyume^12-1)/(_xlpm.aylikBuyume-1)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9166961.1203310974</v>
      </c>
      <c r="N55" s="21" cm="1">
        <f t="array" ref="N55">_xlfn.LET(_xlpm.baslangicGelir,Gerçekleşen!B40,_xlpm.g,$H55,_xlpm.bm,N$48,_xlpm.faaliyetOrani,Varsayımlar!$B$7,_xlpm.vergiOrani,Varsayımlar!$B$12,_xlpm.capexOrani,Varsayımlar!$B$11,_xlpm.dso,Varsayımlar!$B$8,_xlpm.stokGunu,Varsayımlar!$B$9,_xlpm.borcGunu,Varsayımlar!$B$10,_xlpm.oncekiGelir,Gerçekleşen!B40*12,_xlpm.aylikBuyume,(1+_xlpm.g)^(1/12),_xlpm.yillikGelir,_xlpm.baslangicGelir*_xlpm.aylikBuyume*(_xlpm.aylikBuyume^12-1)/(_xlpm.aylikBuyume-1),_xlpm.brutKar,_xlpm.yillikGelir*_xlpm.bm,_xlpm.faaliyetGideri,_xlpm.yillikGelir*_xlpm.faaliyetOrani,_xlpm.favok,_xlpm.brutKar-_xlpm.faaliyetGideri,_xlpm.vergiSonrasiFavok,_xlpm.favok*(1-_xlpm.vergiOrani),_xlpm.nisDegisimi,(_xlpm.yillikGelir-_xlpm.oncekiGelir)*((_xlpm.dso+(1-_xlpm.bm)*_xlpm.stokGunu-(1-_xlpm.bm)*_xlpm.borcGunu)/365),_xlpm.capex,_xlpm.yillikGelir*_xlpm.capexOrani,_xlpm.vergiSonrasiFavok-_xlpm.nisDegisimi-_xlpm.capex)</f>
        <v>12934676.608296603</v>
      </c>
    </row>
    <row r="57" spans="1:14">
      <c r="H57" s="40" t="s">
        <v>74</v>
      </c>
      <c r="I57" s="41"/>
      <c r="J57" s="41"/>
      <c r="K57" s="41"/>
      <c r="L57" s="41"/>
      <c r="M57" s="41"/>
      <c r="N57" s="42"/>
    </row>
    <row r="58" spans="1:14">
      <c r="H58" s="43" t="s">
        <v>75</v>
      </c>
      <c r="I58" s="44"/>
      <c r="J58" s="44"/>
      <c r="K58" s="44"/>
      <c r="L58" s="44"/>
      <c r="M58" s="44"/>
      <c r="N58" s="45"/>
    </row>
    <row r="59" spans="1:14">
      <c r="H59" s="43" t="s">
        <v>76</v>
      </c>
      <c r="I59" s="44"/>
      <c r="J59" s="44"/>
      <c r="K59" s="44"/>
      <c r="L59" s="34">
        <f>IFERROR(IF(AND(J53&lt;0,K53&gt;=0),J$48+(K$48-J$48)*(0-J53)/(K53-J53),IF(AND(K53&lt;0,L53&gt;=0),K$48+(L$48-K$48)*(0-K53)/(L53-K53),IF(AND(L53&lt;0,M53&gt;=0),L$48+(M$48-L$48)*(0-L53)/(M53-L53),IF(AND(M53&lt;0,N53&gt;=0),M$48+(N$48-M$48)*(0-M53)/(N53-M53),IF(J53&gt;=0,"&lt;30%","&gt;44%"))))),"—")</f>
        <v>0.33027377502477973</v>
      </c>
      <c r="M59" s="32" t="s">
        <v>77</v>
      </c>
      <c r="N59" s="33"/>
    </row>
    <row r="60" spans="1:14">
      <c r="H60" s="43" t="s">
        <v>78</v>
      </c>
      <c r="I60" s="44"/>
      <c r="J60" s="44"/>
      <c r="K60" s="44"/>
      <c r="L60" s="34">
        <f>IFERROR(IF(AND(J50&lt;0,K50&gt;=0),J$48+(K$48-J$48)*(0-J50)/(K50-J50),IF(AND(K50&lt;0,L50&gt;=0),K$48+(L$48-K$48)*(0-K50)/(L50-K50),IF(AND(L50&lt;0,M50&gt;=0),L$48+(M$48-L$48)*(0-L50)/(M50-L50),IF(AND(M50&lt;0,N50&gt;=0),M$48+(N$48-M$48)*(0-M50)/(N50-M50),IF(J50&gt;=0,"&lt;30%","&gt;44%"))))),"—")</f>
        <v>0.31525735147623102</v>
      </c>
      <c r="M60" s="32" t="s">
        <v>77</v>
      </c>
      <c r="N60" s="33"/>
    </row>
    <row r="61" spans="1:14">
      <c r="H61" s="43" t="s">
        <v>79</v>
      </c>
      <c r="I61" s="44"/>
      <c r="J61" s="44"/>
      <c r="K61" s="44"/>
      <c r="L61" s="34">
        <f>IFERROR(IF(AND(J51&lt;0,K51&gt;=0),J$48+(K$48-J$48)*(0-J51)/(K51-J51),IF(AND(K51&lt;0,L51&gt;=0),K$48+(L$48-K$48)*(0-K51)/(L51-K51),IF(AND(L51&lt;0,M51&gt;=0),L$48+(M$48-L$48)*(0-L51)/(M51-L51),IF(AND(M51&lt;0,N51&gt;=0),M$48+(N$48-M$48)*(0-M51)/(N51-M51),IF(J51&gt;=0,"&lt;30%","&gt;44%"))))),"—")</f>
        <v>0.32</v>
      </c>
      <c r="M61" s="32" t="s">
        <v>77</v>
      </c>
      <c r="N61" s="33"/>
    </row>
    <row r="62" spans="1:14">
      <c r="H62" s="46" t="s">
        <v>80</v>
      </c>
      <c r="I62" s="47"/>
      <c r="J62" s="47"/>
      <c r="K62" s="47"/>
      <c r="L62" s="47"/>
      <c r="M62" s="47"/>
      <c r="N62" s="48"/>
    </row>
  </sheetData>
  <mergeCells count="27">
    <mergeCell ref="H60:K60"/>
    <mergeCell ref="H61:K61"/>
    <mergeCell ref="H62:N62"/>
    <mergeCell ref="H53:I53"/>
    <mergeCell ref="H54:I54"/>
    <mergeCell ref="H55:I55"/>
    <mergeCell ref="H57:N57"/>
    <mergeCell ref="H58:N58"/>
    <mergeCell ref="H59:K59"/>
    <mergeCell ref="H37:L37"/>
    <mergeCell ref="H47:N47"/>
    <mergeCell ref="H48:I48"/>
    <mergeCell ref="H49:I49"/>
    <mergeCell ref="H50:I50"/>
    <mergeCell ref="H51:I51"/>
    <mergeCell ref="H52:I52"/>
    <mergeCell ref="A20:S20"/>
    <mergeCell ref="B21:G21"/>
    <mergeCell ref="H21:M21"/>
    <mergeCell ref="N21:S21"/>
    <mergeCell ref="A37:G37"/>
    <mergeCell ref="A1:S1"/>
    <mergeCell ref="A2:S2"/>
    <mergeCell ref="A3:S3"/>
    <mergeCell ref="B4:G4"/>
    <mergeCell ref="H4:M4"/>
    <mergeCell ref="N4:S4"/>
  </mergeCells>
  <conditionalFormatting sqref="J49:N55">
    <cfRule type="cellIs" dxfId="2" priority="1" operator="lessThan">
      <formula>0</formula>
    </cfRule>
  </conditionalFormatting>
  <conditionalFormatting sqref="J49:N55">
    <cfRule type="cellIs" dxfId="1" priority="2" operator="greaterThanOrEqual">
      <formula>0</formula>
    </cfRule>
  </conditionalFormatting>
  <conditionalFormatting sqref="I44:K44">
    <cfRule type="cellIs" dxfId="0" priority="3" operator="lessThan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Kıvanç Akdeniz</cp:lastModifiedBy>
  <cp:revision/>
  <dcterms:created xsi:type="dcterms:W3CDTF">2026-07-19T12:04:55Z</dcterms:created>
  <dcterms:modified xsi:type="dcterms:W3CDTF">2026-07-19T13:07:02Z</dcterms:modified>
  <cp:category/>
  <cp:contentStatus/>
</cp:coreProperties>
</file>