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Özet ve SLA Panosu" sheetId="1" state="visible" r:id="rId3"/>
    <sheet name="Olay Listesi" sheetId="2" state="visible" r:id="rId4"/>
    <sheet name="Kök Neden Pivot" sheetId="3" state="visible" r:id="rId5"/>
    <sheet name="Değişiklik İlişkisi" sheetId="4" state="visible" r:id="rId6"/>
    <sheet name="Düzeltici Aksiyonlar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<sst xmlns="http://schemas.openxmlformats.org/spreadsheetml/2006/main" count="774" uniqueCount="307">
  <si>
    <t xml:space="preserve">BT Operasyon — Haftalık Olay ve Değişiklik Panosu</t>
  </si>
  <si>
    <t xml:space="preserve">ISO Hafta 27 · 29 Haziran – 5 Temmuz 2026</t>
  </si>
  <si>
    <t xml:space="preserve">Hazırlanma: 10.07.2026 · Kaynaklar: olay_kayitlari_2026-w27, degisiklik_kayitlari_2026-w27 · Tüm değerler canlı formüllerle hesaplanır</t>
  </si>
  <si>
    <t xml:space="preserve">GENEL SLA GÖSTERGELERİ</t>
  </si>
  <si>
    <t xml:space="preserve">Toplam Olay</t>
  </si>
  <si>
    <t xml:space="preserve">Toplam Değişiklik</t>
  </si>
  <si>
    <t xml:space="preserve">Ortalama Çözüm Süresi — MTTR (dk)</t>
  </si>
  <si>
    <t xml:space="preserve">Başarılı Değişiklik</t>
  </si>
  <si>
    <t xml:space="preserve">MTTR (saat)</t>
  </si>
  <si>
    <t xml:space="preserve">Geri Alınan Değişiklik</t>
  </si>
  <si>
    <t xml:space="preserve">SLA İhlal Sayısı</t>
  </si>
  <si>
    <t xml:space="preserve">Değişiklik Geri Alma Oranı</t>
  </si>
  <si>
    <t xml:space="preserve">SLA İhlal Oranı</t>
  </si>
  <si>
    <t xml:space="preserve">Acil Değişiklik</t>
  </si>
  <si>
    <t xml:space="preserve">SLA Uyum Oranı</t>
  </si>
  <si>
    <t xml:space="preserve">Yüksek Riskli Değişiklik</t>
  </si>
  <si>
    <t xml:space="preserve">Tekrar Eden Olay</t>
  </si>
  <si>
    <t xml:space="preserve">Tekrar Eden Olay Oranı</t>
  </si>
  <si>
    <t xml:space="preserve">Öne Çıkan Bulgular (canlı)</t>
  </si>
  <si>
    <t xml:space="preserve">Ort. Gecikme — İhlallerde (dk)</t>
  </si>
  <si>
    <t xml:space="preserve">ÖNCELİK BAZINDA ÖZET</t>
  </si>
  <si>
    <t xml:space="preserve">Öncelik</t>
  </si>
  <si>
    <t xml:space="preserve">Adet</t>
  </si>
  <si>
    <t xml:space="preserve">MTTR (dk)</t>
  </si>
  <si>
    <t xml:space="preserve">SLA Hedef (dk)</t>
  </si>
  <si>
    <t xml:space="preserve">SLA İhlal</t>
  </si>
  <si>
    <t xml:space="preserve">İhlal Oranı</t>
  </si>
  <si>
    <t xml:space="preserve">Olay Payı</t>
  </si>
  <si>
    <t xml:space="preserve">P1</t>
  </si>
  <si>
    <t xml:space="preserve">P2</t>
  </si>
  <si>
    <t xml:space="preserve">P3</t>
  </si>
  <si>
    <t xml:space="preserve">P4</t>
  </si>
  <si>
    <t xml:space="preserve">Toplam</t>
  </si>
  <si>
    <t xml:space="preserve">HİZMET BAZINDA ÖZET</t>
  </si>
  <si>
    <t xml:space="preserve">Hizmet</t>
  </si>
  <si>
    <t xml:space="preserve">Değişiklik</t>
  </si>
  <si>
    <t xml:space="preserve">Geri Alınan</t>
  </si>
  <si>
    <t xml:space="preserve">Bildirim Servisi</t>
  </si>
  <si>
    <t xml:space="preserve">API Geçidi</t>
  </si>
  <si>
    <t xml:space="preserve">Çekirdek Bankacılık</t>
  </si>
  <si>
    <t xml:space="preserve">Ödeme Servisi</t>
  </si>
  <si>
    <t xml:space="preserve">Mobil Uygulama</t>
  </si>
  <si>
    <t xml:space="preserve">İnternet Şubesi</t>
  </si>
  <si>
    <t xml:space="preserve">Olay ID</t>
  </si>
  <si>
    <t xml:space="preserve">Tarih</t>
  </si>
  <si>
    <t xml:space="preserve">Açılış Saati</t>
  </si>
  <si>
    <t xml:space="preserve">Çözüm Süresi (dk)</t>
  </si>
  <si>
    <t xml:space="preserve">Kök Neden Kategorisi</t>
  </si>
  <si>
    <t xml:space="preserve">Tekrar Eden mi?</t>
  </si>
  <si>
    <t xml:space="preserve">SLA Durumu</t>
  </si>
  <si>
    <t xml:space="preserve">Gecikme (dk)</t>
  </si>
  <si>
    <t xml:space="preserve">SLA Kullanım %</t>
  </si>
  <si>
    <t xml:space="preserve">Hizmette Hafta İçi Değişiklik</t>
  </si>
  <si>
    <t xml:space="preserve">Örüntü Kümesi</t>
  </si>
  <si>
    <t xml:space="preserve">INC5001</t>
  </si>
  <si>
    <t xml:space="preserve">14:40</t>
  </si>
  <si>
    <t xml:space="preserve">Kapasite/kaynak yetersizliği</t>
  </si>
  <si>
    <t xml:space="preserve">Hayır</t>
  </si>
  <si>
    <t xml:space="preserve">INC5002</t>
  </si>
  <si>
    <t xml:space="preserve">22:41</t>
  </si>
  <si>
    <t xml:space="preserve">Veritabanı kilidi</t>
  </si>
  <si>
    <t xml:space="preserve">INC5003</t>
  </si>
  <si>
    <t xml:space="preserve">16:32</t>
  </si>
  <si>
    <t xml:space="preserve">Ağ/altyapı</t>
  </si>
  <si>
    <t xml:space="preserve">INC5004</t>
  </si>
  <si>
    <t xml:space="preserve">06:40</t>
  </si>
  <si>
    <t xml:space="preserve">Sürüm/dağıtım hatası</t>
  </si>
  <si>
    <t xml:space="preserve">INC5005</t>
  </si>
  <si>
    <t xml:space="preserve">10:13</t>
  </si>
  <si>
    <t xml:space="preserve">Hatalı konfigürasyon</t>
  </si>
  <si>
    <t xml:space="preserve">INC5006</t>
  </si>
  <si>
    <t xml:space="preserve">19:22</t>
  </si>
  <si>
    <t xml:space="preserve">INC5007</t>
  </si>
  <si>
    <t xml:space="preserve">13:12</t>
  </si>
  <si>
    <t xml:space="preserve">Sertifika/kimlik doğrulama</t>
  </si>
  <si>
    <t xml:space="preserve">Evet</t>
  </si>
  <si>
    <t xml:space="preserve">INC5008</t>
  </si>
  <si>
    <t xml:space="preserve">05:43</t>
  </si>
  <si>
    <t xml:space="preserve">INC5009</t>
  </si>
  <si>
    <t xml:space="preserve">14:11</t>
  </si>
  <si>
    <t xml:space="preserve">Üçüncü taraf servis kesintisi</t>
  </si>
  <si>
    <t xml:space="preserve">INC5010</t>
  </si>
  <si>
    <t xml:space="preserve">18:33</t>
  </si>
  <si>
    <t xml:space="preserve">INC5011</t>
  </si>
  <si>
    <t xml:space="preserve">11:41</t>
  </si>
  <si>
    <t xml:space="preserve">INC5012</t>
  </si>
  <si>
    <t xml:space="preserve">09:00</t>
  </si>
  <si>
    <t xml:space="preserve">INC5013</t>
  </si>
  <si>
    <t xml:space="preserve">07:24</t>
  </si>
  <si>
    <t xml:space="preserve">INC5014</t>
  </si>
  <si>
    <t xml:space="preserve">22:53</t>
  </si>
  <si>
    <t xml:space="preserve">INC5015</t>
  </si>
  <si>
    <t xml:space="preserve">14:38</t>
  </si>
  <si>
    <t xml:space="preserve">INC5016</t>
  </si>
  <si>
    <t xml:space="preserve">16:15</t>
  </si>
  <si>
    <t xml:space="preserve">INC5017</t>
  </si>
  <si>
    <t xml:space="preserve">17:03</t>
  </si>
  <si>
    <t xml:space="preserve">INC5018</t>
  </si>
  <si>
    <t xml:space="preserve">02:31</t>
  </si>
  <si>
    <t xml:space="preserve">INC5019</t>
  </si>
  <si>
    <t xml:space="preserve">13:02</t>
  </si>
  <si>
    <t xml:space="preserve">INC5020</t>
  </si>
  <si>
    <t xml:space="preserve">15:52</t>
  </si>
  <si>
    <t xml:space="preserve">INC5021</t>
  </si>
  <si>
    <t xml:space="preserve">12:49</t>
  </si>
  <si>
    <t xml:space="preserve">INC5022</t>
  </si>
  <si>
    <t xml:space="preserve">00:32</t>
  </si>
  <si>
    <t xml:space="preserve">INC5023</t>
  </si>
  <si>
    <t xml:space="preserve">17:46</t>
  </si>
  <si>
    <t xml:space="preserve">INC5024</t>
  </si>
  <si>
    <t xml:space="preserve">12:20</t>
  </si>
  <si>
    <t xml:space="preserve">INC5025</t>
  </si>
  <si>
    <t xml:space="preserve">08:08</t>
  </si>
  <si>
    <t xml:space="preserve">INC5026</t>
  </si>
  <si>
    <t xml:space="preserve">17:38</t>
  </si>
  <si>
    <t xml:space="preserve">INC5027</t>
  </si>
  <si>
    <t xml:space="preserve">07:57</t>
  </si>
  <si>
    <t xml:space="preserve">INC5028</t>
  </si>
  <si>
    <t xml:space="preserve">02:08</t>
  </si>
  <si>
    <t xml:space="preserve">INC5029</t>
  </si>
  <si>
    <t xml:space="preserve">17:44</t>
  </si>
  <si>
    <t xml:space="preserve">INC5030</t>
  </si>
  <si>
    <t xml:space="preserve">20:48</t>
  </si>
  <si>
    <t xml:space="preserve">INC5031</t>
  </si>
  <si>
    <t xml:space="preserve">03:39</t>
  </si>
  <si>
    <t xml:space="preserve">INC5032</t>
  </si>
  <si>
    <t xml:space="preserve">INC5033</t>
  </si>
  <si>
    <t xml:space="preserve">03:49</t>
  </si>
  <si>
    <t xml:space="preserve">INC5034</t>
  </si>
  <si>
    <t xml:space="preserve">22:31</t>
  </si>
  <si>
    <t xml:space="preserve">INC5035</t>
  </si>
  <si>
    <t xml:space="preserve">10:30</t>
  </si>
  <si>
    <t xml:space="preserve">INC5036</t>
  </si>
  <si>
    <t xml:space="preserve">23:40</t>
  </si>
  <si>
    <t xml:space="preserve">INC5037</t>
  </si>
  <si>
    <t xml:space="preserve">03:37</t>
  </si>
  <si>
    <t xml:space="preserve">INC5038</t>
  </si>
  <si>
    <t xml:space="preserve">21:30</t>
  </si>
  <si>
    <t xml:space="preserve">INC5039</t>
  </si>
  <si>
    <t xml:space="preserve">05:59</t>
  </si>
  <si>
    <t xml:space="preserve">INC5040</t>
  </si>
  <si>
    <t xml:space="preserve">13:41</t>
  </si>
  <si>
    <t xml:space="preserve">INC5041</t>
  </si>
  <si>
    <t xml:space="preserve">07:47</t>
  </si>
  <si>
    <t xml:space="preserve">INC5042</t>
  </si>
  <si>
    <t xml:space="preserve">06:59</t>
  </si>
  <si>
    <t xml:space="preserve">INC5043</t>
  </si>
  <si>
    <t xml:space="preserve">06:06</t>
  </si>
  <si>
    <t xml:space="preserve">INC5044</t>
  </si>
  <si>
    <t xml:space="preserve">07:27</t>
  </si>
  <si>
    <t xml:space="preserve">INC5045</t>
  </si>
  <si>
    <t xml:space="preserve">02:24</t>
  </si>
  <si>
    <t xml:space="preserve">INC5046</t>
  </si>
  <si>
    <t xml:space="preserve">04:42</t>
  </si>
  <si>
    <t xml:space="preserve">INC5047</t>
  </si>
  <si>
    <t xml:space="preserve">16:10</t>
  </si>
  <si>
    <t xml:space="preserve">INC5048</t>
  </si>
  <si>
    <t xml:space="preserve">21:04</t>
  </si>
  <si>
    <t xml:space="preserve">INC5049</t>
  </si>
  <si>
    <t xml:space="preserve">INC5050</t>
  </si>
  <si>
    <t xml:space="preserve">05:10</t>
  </si>
  <si>
    <t xml:space="preserve">INC5051</t>
  </si>
  <si>
    <t xml:space="preserve">02:37</t>
  </si>
  <si>
    <t xml:space="preserve">INC5052</t>
  </si>
  <si>
    <t xml:space="preserve">18:28</t>
  </si>
  <si>
    <t xml:space="preserve">INC5053</t>
  </si>
  <si>
    <t xml:space="preserve">18:38</t>
  </si>
  <si>
    <t xml:space="preserve">INC5054</t>
  </si>
  <si>
    <t xml:space="preserve">11:27</t>
  </si>
  <si>
    <t xml:space="preserve">INC5055</t>
  </si>
  <si>
    <t xml:space="preserve">08:46</t>
  </si>
  <si>
    <t xml:space="preserve">INC5056</t>
  </si>
  <si>
    <t xml:space="preserve">06:09</t>
  </si>
  <si>
    <t xml:space="preserve">INC5057</t>
  </si>
  <si>
    <t xml:space="preserve">17:01</t>
  </si>
  <si>
    <t xml:space="preserve">INC5058</t>
  </si>
  <si>
    <t xml:space="preserve">08:55</t>
  </si>
  <si>
    <t xml:space="preserve">INC5059</t>
  </si>
  <si>
    <t xml:space="preserve">05:35</t>
  </si>
  <si>
    <t xml:space="preserve">INC5060</t>
  </si>
  <si>
    <t xml:space="preserve">01:17</t>
  </si>
  <si>
    <t xml:space="preserve">INC5061</t>
  </si>
  <si>
    <t xml:space="preserve">20:02</t>
  </si>
  <si>
    <t xml:space="preserve">INC5062</t>
  </si>
  <si>
    <t xml:space="preserve">17:22</t>
  </si>
  <si>
    <t xml:space="preserve">INC5063</t>
  </si>
  <si>
    <t xml:space="preserve">03:16</t>
  </si>
  <si>
    <t xml:space="preserve">INC5064</t>
  </si>
  <si>
    <t xml:space="preserve">13:15</t>
  </si>
  <si>
    <t xml:space="preserve">Kök Neden ve Örüntü Pivot Analizi</t>
  </si>
  <si>
    <t xml:space="preserve">Pivot A — Örüntü Kümesi Bazında Özet (SLA ihlaline göre sıralı)</t>
  </si>
  <si>
    <t xml:space="preserve">Altyapı/Ağ</t>
  </si>
  <si>
    <t xml:space="preserve">Olay Adedi</t>
  </si>
  <si>
    <t xml:space="preserve">Tekrar Eden</t>
  </si>
  <si>
    <t xml:space="preserve">Tekrar Oranı</t>
  </si>
  <si>
    <t xml:space="preserve">Konfigürasyon</t>
  </si>
  <si>
    <t xml:space="preserve">Sürüm/Dağıtım</t>
  </si>
  <si>
    <t xml:space="preserve">Kapasite</t>
  </si>
  <si>
    <t xml:space="preserve">Kimlik/Sertifika</t>
  </si>
  <si>
    <t xml:space="preserve">Veritabanı</t>
  </si>
  <si>
    <t xml:space="preserve">Üçüncü Taraf</t>
  </si>
  <si>
    <t xml:space="preserve">Genel Toplam</t>
  </si>
  <si>
    <t xml:space="preserve">Pivot B — Kök Neden × Öncelik (Olay Adedi)</t>
  </si>
  <si>
    <t xml:space="preserve">Pivot C — Hizmet × Örüntü Kümesi (Olay Adedi)</t>
  </si>
  <si>
    <t xml:space="preserve">Değişiklik – Olay İlişki Analizi</t>
  </si>
  <si>
    <t xml:space="preserve">A) Değişiklik Kayıtları (filtrelenebilir)</t>
  </si>
  <si>
    <t xml:space="preserve">Değişiklik ID</t>
  </si>
  <si>
    <t xml:space="preserve">Tip</t>
  </si>
  <si>
    <t xml:space="preserve">Risk</t>
  </si>
  <si>
    <t xml:space="preserve">Sonuç</t>
  </si>
  <si>
    <t xml:space="preserve">İlişkili Olay ID</t>
  </si>
  <si>
    <t xml:space="preserve">İlişkili Olay Hizmeti</t>
  </si>
  <si>
    <t xml:space="preserve">İlişkili Olay Önceliği</t>
  </si>
  <si>
    <t xml:space="preserve">İlişkili Olay Kök Neden</t>
  </si>
  <si>
    <t xml:space="preserve">Uyarı</t>
  </si>
  <si>
    <t xml:space="preserve">CHG901</t>
  </si>
  <si>
    <t xml:space="preserve">Standart</t>
  </si>
  <si>
    <t xml:space="preserve">Düşük</t>
  </si>
  <si>
    <t xml:space="preserve">Başarılı</t>
  </si>
  <si>
    <t xml:space="preserve">CHG902</t>
  </si>
  <si>
    <t xml:space="preserve">Acil</t>
  </si>
  <si>
    <t xml:space="preserve">Yüksek</t>
  </si>
  <si>
    <t xml:space="preserve">CHG903</t>
  </si>
  <si>
    <t xml:space="preserve">Normal</t>
  </si>
  <si>
    <t xml:space="preserve">CHG904</t>
  </si>
  <si>
    <t xml:space="preserve">Orta</t>
  </si>
  <si>
    <t xml:space="preserve">CHG905</t>
  </si>
  <si>
    <t xml:space="preserve">CHG906</t>
  </si>
  <si>
    <t xml:space="preserve">CHG907</t>
  </si>
  <si>
    <t xml:space="preserve">CHG908</t>
  </si>
  <si>
    <t xml:space="preserve">CHG909</t>
  </si>
  <si>
    <t xml:space="preserve">CHG910</t>
  </si>
  <si>
    <t xml:space="preserve">CHG911</t>
  </si>
  <si>
    <t xml:space="preserve">Geri alındı</t>
  </si>
  <si>
    <t xml:space="preserve">CHG912</t>
  </si>
  <si>
    <t xml:space="preserve">CHG913</t>
  </si>
  <si>
    <t xml:space="preserve">CHG914</t>
  </si>
  <si>
    <t xml:space="preserve">CHG915</t>
  </si>
  <si>
    <t xml:space="preserve">CHG916</t>
  </si>
  <si>
    <t xml:space="preserve">CHG917</t>
  </si>
  <si>
    <t xml:space="preserve">CHG918</t>
  </si>
  <si>
    <t xml:space="preserve">CHG919</t>
  </si>
  <si>
    <t xml:space="preserve">CHG920</t>
  </si>
  <si>
    <t xml:space="preserve">CHG921</t>
  </si>
  <si>
    <t xml:space="preserve">CHG922</t>
  </si>
  <si>
    <t xml:space="preserve">CHG923</t>
  </si>
  <si>
    <t xml:space="preserve">CHG924</t>
  </si>
  <si>
    <t xml:space="preserve">CHG925</t>
  </si>
  <si>
    <t xml:space="preserve">CHG926</t>
  </si>
  <si>
    <t xml:space="preserve">B) Hizmet Bazında Olay ve Değişiklik Yoğunluğu</t>
  </si>
  <si>
    <t xml:space="preserve">Olay Sayısı</t>
  </si>
  <si>
    <t xml:space="preserve">Sürüm/Dağıtım Olayı</t>
  </si>
  <si>
    <t xml:space="preserve">C) Açık Bağlantılı Değişiklikler (ilgili_olay_id dolu)</t>
  </si>
  <si>
    <t xml:space="preserve">Değ. Hizmeti</t>
  </si>
  <si>
    <t xml:space="preserve">İlişkili Olay</t>
  </si>
  <si>
    <t xml:space="preserve">Olay Hizmeti</t>
  </si>
  <si>
    <t xml:space="preserve">Olay Önceliği</t>
  </si>
  <si>
    <t xml:space="preserve">Kök Neden</t>
  </si>
  <si>
    <t xml:space="preserve">D) Sürüm/Dağıtım Kaynaklı Olaylar ve Aynı Hizmetteki Değişiklikler</t>
  </si>
  <si>
    <t xml:space="preserve">Aynı Hizmet Değişiklik (hafta)</t>
  </si>
  <si>
    <t xml:space="preserve">Aynı Hizmet Geri Alma</t>
  </si>
  <si>
    <t xml:space="preserve">Not: Aynı hizmette aynı hafta içinde değişiklik bulunması olası sürüm/dağıtım ilişkisine işaret eder; kanıtlanmış nedensellik için değişiklik zaman damgası ile karşılaştırılmalıdır.</t>
  </si>
  <si>
    <t xml:space="preserve">Önceliklendirilmiş Düzeltici Aksiyonlar</t>
  </si>
  <si>
    <t xml:space="preserve">Veriye dayalı; 'İlgili Metrik' sütunu canlı formüllerle hesaplanır. Sahip ve Hedef Tarih alanları yönetim tarafından doldurulmalıdır.</t>
  </si>
  <si>
    <t xml:space="preserve">#</t>
  </si>
  <si>
    <t xml:space="preserve">Aksiyon</t>
  </si>
  <si>
    <t xml:space="preserve">İlgili Örüntü / Hizmet</t>
  </si>
  <si>
    <t xml:space="preserve">Veriye Dayalı Gerekçe</t>
  </si>
  <si>
    <t xml:space="preserve">İlgili Metrik (canlı)</t>
  </si>
  <si>
    <t xml:space="preserve">Beklenen Etki</t>
  </si>
  <si>
    <t xml:space="preserve">Sahip</t>
  </si>
  <si>
    <t xml:space="preserve">Hedef Tarih</t>
  </si>
  <si>
    <t xml:space="preserve">Durum</t>
  </si>
  <si>
    <t xml:space="preserve">Sürüm/dağıtım sürecini sıkılaştır: kademeli (canary) dağıtım, otomatik geri alma ve dağıtım sonrası izleme kapıları.</t>
  </si>
  <si>
    <t xml:space="preserve">Sürüm/Dağıtım örüntüsü</t>
  </si>
  <si>
    <t xml:space="preserve">Sürüm/Dağıtım örüntüsü en yüksek SLA ihlaline sahip; API Geçidi olayları aynı gün değişiklikle örtüşüyor.</t>
  </si>
  <si>
    <t xml:space="preserve">Sürüm kaynaklı P1/P2 ihlallerinde belirgin azalma.</t>
  </si>
  <si>
    <t xml:space="preserve">[Atanacak]</t>
  </si>
  <si>
    <t xml:space="preserve">[Belirlenecek]</t>
  </si>
  <si>
    <t xml:space="preserve">Açık</t>
  </si>
  <si>
    <t xml:space="preserve">Bildirim Servisi değişiklik kalite kapısını güçlendir: zorunlu test/onay, geri alma sonrası kök neden incelemesi.</t>
  </si>
  <si>
    <t xml:space="preserve">Bu serviste yapılan değişikliklerin büyük kısmı geri alınmış; servis en yoğun olay hacmine sahip.</t>
  </si>
  <si>
    <t xml:space="preserve">Geri alma oranında düşüş, tekrar eden kesintilerin azalması.</t>
  </si>
  <si>
    <t xml:space="preserve">Konfigürasyon yönetimini standartlaştır: IaC, ön dağıtım doğrulaması ve konfigürasyon farkı kontrolleri.</t>
  </si>
  <si>
    <t xml:space="preserve">Konfigürasyon örüntüsü</t>
  </si>
  <si>
    <t xml:space="preserve">Hatalı konfigürasyon örüntüsü yüksek ihlal oranıyla öne çıkıyor.</t>
  </si>
  <si>
    <t xml:space="preserve">İnsan hatası kaynaklı ihlallerde azalma.</t>
  </si>
  <si>
    <t xml:space="preserve">P4 ve yavaş servisler için çözüm süresini kısalt: otomasyon, runbook ve kuyruk önceliklendirme.</t>
  </si>
  <si>
    <t xml:space="preserve">P4 · Ödeme · İnternet Şubesi</t>
  </si>
  <si>
    <t xml:space="preserve">P4 olaylar en uzun MTTR'a sahip; Ödeme Servisi ve İnternet Şubesi ortalamaları yüksek.</t>
  </si>
  <si>
    <t xml:space="preserve">Genel MTTR ve birikmiş düşük öncelikli iş yükünde azalma.</t>
  </si>
  <si>
    <t xml:space="preserve">Veritabanı kilidi kaynaklı olayları azalt: sorgu/indeks iyileştirme, kilit izleme ve zaman aşımı ayarları.</t>
  </si>
  <si>
    <t xml:space="preserve">Veritabanı örüntüsü</t>
  </si>
  <si>
    <t xml:space="preserve">Veritabanı kilidi en sık görülen kök neden.</t>
  </si>
  <si>
    <t xml:space="preserve">En yaygın kök nedende olay sayısı düşüşü.</t>
  </si>
  <si>
    <t xml:space="preserve">Sertifika/kimlik doğrulama yenilemesini otomatikleştir: sertifika envanteri ve süre sonu uyarıları.</t>
  </si>
  <si>
    <t xml:space="preserve">Kimlik/Sertifika örüntüsü</t>
  </si>
  <si>
    <t xml:space="preserve">Sertifika/kimlik doğrulama olaylarında tekrar edenlerin payı yüksek.</t>
  </si>
  <si>
    <t xml:space="preserve">Tekrar eden sertifika kesintilerinin ortadan kalkması.</t>
  </si>
  <si>
    <t xml:space="preserve">Üçüncü taraf bağımlılığında dayanıklılık: devre kesici, yedek sağlayıcı ve tedarikçi SLA yönetimi.</t>
  </si>
  <si>
    <t xml:space="preserve">Üçüncü Taraf örüntüsü</t>
  </si>
  <si>
    <t xml:space="preserve">Üçüncü taraf servis kesintileri tekrar eden olaylar üretiyor.</t>
  </si>
  <si>
    <t xml:space="preserve">Dış kaynaklı kesintilerin müşteri etkisinin azalması.</t>
  </si>
  <si>
    <t xml:space="preserve">Kapasite planlaması ve otomatik ölçeklendirme: kaynak izleme ve eşik tabanlı uyarılar.</t>
  </si>
  <si>
    <t xml:space="preserve">Kapasite örüntüsü</t>
  </si>
  <si>
    <t xml:space="preserve">Kapasite/kaynak yetersizliği olayları özellikle uzun süreli (P4) kesintilere yol açıyor.</t>
  </si>
  <si>
    <t xml:space="preserve">Kaynak kaynaklı yavaşlama ve kesintilerde azalma.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</si>
</sst>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#,##0.0"/>
    <numFmt numFmtId="167" formatCode="0.0"/>
    <numFmt numFmtId="168" formatCode="0.0%"/>
    <numFmt numFmtId="169" formatCode="#,##0"/>
    <numFmt numFmtId="170" formatCode="yyyy\-mm\-dd"/>
    <numFmt numFmtId="171" formatCode="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i val="true"/>
      <sz val="11"/>
      <color rgb="FF203864"/>
      <name val="Arial"/>
      <family val="0"/>
      <charset val="1"/>
    </font>
    <font>
      <sz val="9"/>
      <name val="Arial"/>
      <family val="0"/>
      <charset val="1"/>
    </font>
    <font>
      <sz val="11"/>
      <name val="Arial"/>
      <family val="0"/>
      <charset val="1"/>
    </font>
    <font>
      <i val="true"/>
      <sz val="8"/>
      <color rgb="FF595959"/>
      <name val="Arial"/>
      <family val="0"/>
      <charset val="1"/>
    </font>
    <font>
      <sz val="1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203864"/>
        <bgColor rgb="FF1F4E78"/>
      </patternFill>
    </fill>
    <fill>
      <patternFill patternType="solid">
        <fgColor rgb="FF2E75B6"/>
        <bgColor rgb="FF0066CC"/>
      </patternFill>
    </fill>
    <fill>
      <patternFill patternType="solid">
        <fgColor rgb="FFDDEBF7"/>
        <bgColor rgb="FFE2EFDA"/>
      </patternFill>
    </fill>
    <fill>
      <patternFill patternType="solid">
        <fgColor rgb="FFE2EFDA"/>
        <bgColor rgb="FFDDEBF7"/>
      </patternFill>
    </fill>
    <fill>
      <patternFill patternType="solid">
        <fgColor rgb="FF1F4E78"/>
        <bgColor rgb="FF203864"/>
      </patternFill>
    </fill>
    <fill>
      <patternFill patternType="solid">
        <fgColor rgb="FFC00000"/>
        <bgColor rgb="FF9C0006"/>
      </patternFill>
    </fill>
    <fill>
      <patternFill patternType="solid">
        <fgColor rgb="FFED7D31"/>
        <bgColor rgb="FFFF8080"/>
      </patternFill>
    </fill>
    <fill>
      <patternFill patternType="solid">
        <fgColor rgb="FFFFD966"/>
        <bgColor rgb="FFFFEB9C"/>
      </patternFill>
    </fill>
    <fill>
      <patternFill patternType="solid">
        <fgColor rgb="FFA9D08E"/>
        <bgColor rgb="FFBFBFBF"/>
      </patternFill>
    </fill>
    <fill>
      <patternFill patternType="solid">
        <fgColor rgb="FFBDD7EE"/>
        <bgColor rgb="FFC6EFC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0">
    <dxf>
      <font>
        <name val="Arial"/>
        <charset val="1"/>
        <family val="0"/>
        <b val="1"/>
        <color rgb="FF9C0006"/>
      </font>
    </dxf>
    <dxf>
      <fill>
        <patternFill patternType="solid">
          <fgColor rgb="FF1F4E7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A9D08E"/>
          <bgColor rgb="FF000000"/>
        </patternFill>
      </fill>
    </dxf>
    <dxf>
      <fill>
        <patternFill patternType="solid">
          <fgColor rgb="FFC00000"/>
          <bgColor rgb="FF000000"/>
        </patternFill>
      </fill>
    </dxf>
    <dxf>
      <fill>
        <patternFill patternType="solid">
          <fgColor rgb="FFED7D31"/>
          <bgColor rgb="FF000000"/>
        </patternFill>
      </fill>
    </dxf>
    <dxf>
      <fill>
        <patternFill patternType="solid">
          <fgColor rgb="FFFFD966"/>
          <bgColor rgb="FF000000"/>
        </patternFill>
      </fill>
    </dxf>
    <dxf>
      <fill>
        <patternFill patternType="solid">
          <fgColor rgb="FFFFEB9C"/>
          <bgColor rgb="FF000000"/>
        </patternFill>
      </fill>
    </dxf>
    <dxf>
      <fill>
        <patternFill patternType="solid">
          <fgColor rgb="FF9C6500"/>
          <bgColor rgb="FF000000"/>
        </patternFill>
      </fill>
    </dxf>
    <dxf>
      <fill>
        <patternFill patternType="solid">
          <fgColor rgb="FFC6EF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006100"/>
          <bgColor rgb="FF000000"/>
        </patternFill>
      </fill>
    </dxf>
    <dxf>
      <fill>
        <patternFill patternType="solid">
          <fgColor rgb="FF9C0006"/>
          <bgColor rgb="FF000000"/>
        </patternFill>
      </fill>
    </dxf>
    <dxf>
      <fill>
        <patternFill patternType="solid">
          <fgColor rgb="FFF8696B"/>
          <bgColor rgb="FF000000"/>
        </patternFill>
      </fill>
    </dxf>
    <dxf>
      <fill>
        <patternFill patternType="solid">
          <fgColor rgb="FFFA9495"/>
          <bgColor rgb="FF000000"/>
        </patternFill>
      </fill>
    </dxf>
    <dxf>
      <fill>
        <patternFill patternType="solid">
          <fgColor rgb="FFFCACAD"/>
          <bgColor rgb="FF000000"/>
        </patternFill>
      </fill>
    </dxf>
    <dxf>
      <fill>
        <patternFill patternType="solid">
          <fgColor rgb="FFFCBEBF"/>
          <bgColor rgb="FF000000"/>
        </patternFill>
      </fill>
    </dxf>
    <dxf>
      <fill>
        <patternFill patternType="solid">
          <fgColor rgb="FFFDD3D3"/>
          <bgColor rgb="FF000000"/>
        </patternFill>
      </fill>
    </dxf>
    <dxf>
      <fill>
        <patternFill patternType="solid">
          <fgColor rgb="FFFDD3D4"/>
          <bgColor rgb="FF000000"/>
        </patternFill>
      </fill>
    </dxf>
    <dxf>
      <fill>
        <patternFill patternType="solid">
          <fgColor rgb="FFFEDFDF"/>
          <bgColor rgb="FF000000"/>
        </patternFill>
      </fill>
    </dxf>
    <dxf>
      <fill>
        <patternFill patternType="solid">
          <fgColor rgb="FFFEE5E5"/>
          <bgColor rgb="FF000000"/>
        </patternFill>
      </fill>
    </dxf>
    <dxf>
      <fill>
        <patternFill patternType="solid">
          <fgColor rgb="FFFEE8E8"/>
          <bgColor rgb="FF000000"/>
        </patternFill>
      </fill>
    </dxf>
    <dxf>
      <fill>
        <patternFill patternType="solid">
          <fgColor rgb="FFFFEBEB"/>
          <bgColor rgb="FF000000"/>
        </patternFill>
      </fill>
    </dxf>
    <dxf>
      <fill>
        <patternFill patternType="solid">
          <fgColor rgb="FFFFEBEC"/>
          <bgColor rgb="FF000000"/>
        </patternFill>
      </fill>
    </dxf>
    <dxf>
      <fill>
        <patternFill patternType="solid">
          <fgColor rgb="FFFFECED"/>
          <bgColor rgb="FF000000"/>
        </patternFill>
      </fill>
    </dxf>
    <dxf>
      <fill>
        <patternFill patternType="solid">
          <fgColor rgb="FFFFEDED"/>
          <bgColor rgb="FF000000"/>
        </patternFill>
      </fill>
    </dxf>
    <dxf>
      <fill>
        <patternFill patternType="solid">
          <fgColor rgb="FFFFEDEE"/>
          <bgColor rgb="FF000000"/>
        </patternFill>
      </fill>
    </dxf>
    <dxf>
      <fill>
        <patternFill patternType="solid">
          <fgColor rgb="FFFFEEEE"/>
          <bgColor rgb="FF000000"/>
        </patternFill>
      </fill>
    </dxf>
    <dxf>
      <fill>
        <patternFill patternType="solid">
          <fgColor rgb="FFFFEEEF"/>
          <bgColor rgb="FF000000"/>
        </patternFill>
      </fill>
    </dxf>
    <dxf>
      <fill>
        <patternFill patternType="solid">
          <fgColor rgb="FFFFEFEF"/>
          <bgColor rgb="FF000000"/>
        </patternFill>
      </fill>
    </dxf>
    <dxf>
      <fill>
        <patternFill patternType="solid">
          <fgColor rgb="FFFFEFF0"/>
          <bgColor rgb="FF000000"/>
        </patternFill>
      </fill>
    </dxf>
    <dxf>
      <fill>
        <patternFill patternType="solid">
          <fgColor rgb="FFFFF0F0"/>
          <bgColor rgb="FF000000"/>
        </patternFill>
      </fill>
    </dxf>
    <dxf>
      <fill>
        <patternFill patternType="solid">
          <fgColor rgb="FFFFF1F1"/>
          <bgColor rgb="FF000000"/>
        </patternFill>
      </fill>
    </dxf>
    <dxf>
      <fill>
        <patternFill patternType="solid">
          <fgColor rgb="FFFFF3F3"/>
          <bgColor rgb="FF000000"/>
        </patternFill>
      </fill>
    </dxf>
    <dxf>
      <fill>
        <patternFill patternType="solid">
          <fgColor rgb="FFFFF6F6"/>
          <bgColor rgb="FF000000"/>
        </patternFill>
      </fill>
    </dxf>
    <dxf>
      <fill>
        <patternFill patternType="solid">
          <fgColor rgb="FFFFF9F9"/>
          <bgColor rgb="FF000000"/>
        </patternFill>
      </fill>
    </dxf>
    <dxf>
      <fill>
        <patternFill patternType="solid">
          <fgColor rgb="FFFFFAFA"/>
          <bgColor rgb="FF000000"/>
        </patternFill>
      </fill>
    </dxf>
    <dxf>
      <fill>
        <patternFill patternType="solid">
          <fgColor rgb="FFFFFBFB"/>
          <bgColor rgb="FF000000"/>
        </patternFill>
      </fill>
    </dxf>
    <dxf>
      <fill>
        <patternFill patternType="solid">
          <fgColor rgb="FFFFFCFC"/>
          <bgColor rgb="FF000000"/>
        </patternFill>
      </fill>
    </dxf>
    <dxf>
      <fill>
        <patternFill patternType="solid">
          <fgColor rgb="FFFFFDFD"/>
          <bgColor rgb="FF000000"/>
        </patternFill>
      </fill>
    </dxf>
    <dxf>
      <fill>
        <patternFill patternType="solid">
          <fgColor rgb="FFFFFEFE"/>
          <bgColor rgb="FF000000"/>
        </patternFill>
      </fill>
    </dxf>
    <dxf>
      <font>
        <name val="Arial"/>
        <charset val="1"/>
        <family val="0"/>
        <b val="1"/>
        <color rgb="FF9C0006"/>
      </font>
      <fill>
        <patternFill>
          <bgColor rgb="FFFFC7CE"/>
        </patternFill>
      </fill>
    </dxf>
    <dxf>
      <font>
        <name val="Arial"/>
        <charset val="1"/>
        <family val="0"/>
        <color rgb="FF006100"/>
      </font>
      <fill>
        <patternFill>
          <bgColor rgb="FFC6EFCE"/>
        </patternFill>
      </fill>
    </dxf>
    <dxf>
      <font>
        <name val="Arial"/>
        <charset val="1"/>
        <family val="0"/>
        <color rgb="FF9C6500"/>
      </font>
      <fill>
        <patternFill>
          <bgColor rgb="FFFFEB9C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C00000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A9D08E"/>
        </patternFill>
      </fill>
    </dxf>
    <dxf>
      <fill>
        <patternFill>
          <bgColor rgb="FFDDEBF7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E2EFDA"/>
      <rgbColor rgb="FFDD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A9D08E"/>
      <rgbColor rgb="FFFF99CC"/>
      <rgbColor rgb="FFCC99FF"/>
      <rgbColor rgb="FFFFC7CE"/>
      <rgbColor rgb="FF2E75B6"/>
      <rgbColor rgb="FF33CCCC"/>
      <rgbColor rgb="FF99CC00"/>
      <rgbColor rgb="FFFFD966"/>
      <rgbColor rgb="FFFF9900"/>
      <rgbColor rgb="FFED7D31"/>
      <rgbColor rgb="FF595959"/>
      <rgbColor rgb="FF969696"/>
      <rgbColor rgb="FF203864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bl_degisiklik" displayName="tbl_degisiklik" ref="A4:K30" headerRowCount="1" totalsRowCount="0" totalsRowShown="0">
  <autoFilter ref="A4:K30"/>
  <tableColumns count="11">
    <tableColumn id="1" name="Değişiklik ID"/>
    <tableColumn id="2" name="Tarih"/>
    <tableColumn id="3" name="Hizmet"/>
    <tableColumn id="4" name="Tip"/>
    <tableColumn id="5" name="Risk"/>
    <tableColumn id="6" name="Sonuç"/>
    <tableColumn id="7" name="İlişkili Olay ID"/>
    <tableColumn id="8" name="İlişkili Olay Hizmeti"/>
    <tableColumn id="9" name="İlişkili Olay Önceliği"/>
    <tableColumn id="10" name="İlişkili Olay Kök Neden"/>
    <tableColumn id="11" name="Uyarı"/>
  </tableColumns>
</table>
</file>

<file path=xl/tables/table2.xml><?xml version="1.0" encoding="utf-8"?>
<table xmlns="http://schemas.openxmlformats.org/spreadsheetml/2006/main" id="2" name="tbl_olay" displayName="tbl_olay" ref="A1:N65" headerRowCount="1" totalsRowCount="0" totalsRowShown="0">
  <autoFilter ref="A1:N65"/>
  <tableColumns count="14">
    <tableColumn id="1" name="Olay ID"/>
    <tableColumn id="2" name="Tarih"/>
    <tableColumn id="3" name="Hizmet"/>
    <tableColumn id="4" name="Öncelik"/>
    <tableColumn id="5" name="Açılış Saati"/>
    <tableColumn id="6" name="Çözüm Süresi (dk)"/>
    <tableColumn id="7" name="SLA Hedef (dk)"/>
    <tableColumn id="8" name="Kök Neden Kategorisi"/>
    <tableColumn id="9" name="Tekrar Eden mi?"/>
    <tableColumn id="10" name="SLA Durumu"/>
    <tableColumn id="11" name="Gecikme (dk)"/>
    <tableColumn id="12" name="SLA Kullanım %"/>
    <tableColumn id="13" name="Hizmette Hafta İçi Değişiklik"/>
    <tableColumn id="14" name="Örüntü Kümesi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3" min="2" style="0" width="12"/>
    <col collapsed="false" customWidth="true" hidden="false" outlineLevel="0" max="4" min="4" style="0" width="15"/>
    <col collapsed="false" customWidth="true" hidden="false" outlineLevel="0" max="5" min="5" style="0" width="11"/>
    <col collapsed="false" customWidth="true" hidden="false" outlineLevel="0" max="7" min="6" style="0" width="12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</row>
    <row r="5" customFormat="false" ht="15" hidden="false" customHeight="false" outlineLevel="0" collapsed="false">
      <c r="A5" s="4" t="s">
        <v>3</v>
      </c>
      <c r="B5" s="4"/>
      <c r="C5" s="4"/>
      <c r="D5" s="4"/>
      <c r="E5" s="4"/>
      <c r="F5" s="4"/>
      <c r="G5" s="4"/>
    </row>
    <row r="6" customFormat="false" ht="26.85" hidden="false" customHeight="false" outlineLevel="0" collapsed="false">
      <c r="A6" s="5" t="s">
        <v>4</v>
      </c>
      <c r="B6" s="6" t="n">
        <f aca="false">COUNTA('Olay Listesi'!$A$2:$A$65)</f>
        <v>64</v>
      </c>
      <c r="D6" s="7" t="s">
        <v>5</v>
      </c>
      <c r="E6" s="6" t="n">
        <f aca="false">COUNTA('Değişiklik İlişkisi'!$A$4:$A$29)</f>
        <v>26</v>
      </c>
    </row>
    <row r="7" customFormat="false" ht="26.85" hidden="false" customHeight="false" outlineLevel="0" collapsed="false">
      <c r="A7" s="5" t="s">
        <v>6</v>
      </c>
      <c r="B7" s="8" t="n">
        <f aca="false">AVERAGE('Olay Listesi'!$F$2:$F$65)</f>
        <v>547.65625</v>
      </c>
      <c r="D7" s="7" t="s">
        <v>7</v>
      </c>
      <c r="E7" s="6" t="n">
        <f aca="false">COUNTIF('Değişiklik İlişkisi'!$F$4:$F$29,"Başarılı")</f>
        <v>20</v>
      </c>
    </row>
    <row r="8" customFormat="false" ht="26.85" hidden="false" customHeight="false" outlineLevel="0" collapsed="false">
      <c r="A8" s="5" t="s">
        <v>8</v>
      </c>
      <c r="B8" s="9" t="n">
        <f aca="false">B7/60</f>
        <v>9.12760416666667</v>
      </c>
      <c r="D8" s="7" t="s">
        <v>9</v>
      </c>
      <c r="E8" s="6" t="n">
        <f aca="false">COUNTIF('Değişiklik İlişkisi'!$F$4:$F$29,"Geri alındı")</f>
        <v>5</v>
      </c>
    </row>
    <row r="9" customFormat="false" ht="39.55" hidden="false" customHeight="false" outlineLevel="0" collapsed="false">
      <c r="A9" s="5" t="s">
        <v>10</v>
      </c>
      <c r="B9" s="6" t="n">
        <f aca="false">COUNTIF('Olay Listesi'!$J$2:$J$65,"İhlal")</f>
        <v>40</v>
      </c>
      <c r="D9" s="7" t="s">
        <v>11</v>
      </c>
      <c r="E9" s="10" t="n">
        <f aca="false">IFERROR(E8/E6,0)</f>
        <v>0.192307692307692</v>
      </c>
    </row>
    <row r="10" customFormat="false" ht="15" hidden="false" customHeight="false" outlineLevel="0" collapsed="false">
      <c r="A10" s="5" t="s">
        <v>12</v>
      </c>
      <c r="B10" s="10" t="n">
        <f aca="false">B9/B6</f>
        <v>0.625</v>
      </c>
      <c r="D10" s="7" t="s">
        <v>13</v>
      </c>
      <c r="E10" s="6" t="n">
        <f aca="false">COUNTIF('Değişiklik İlişkisi'!$D$4:$D$29,"Acil")</f>
        <v>12</v>
      </c>
    </row>
    <row r="11" customFormat="false" ht="26.85" hidden="false" customHeight="false" outlineLevel="0" collapsed="false">
      <c r="A11" s="5" t="s">
        <v>14</v>
      </c>
      <c r="B11" s="10" t="n">
        <f aca="false">1-B10</f>
        <v>0.375</v>
      </c>
      <c r="D11" s="7" t="s">
        <v>15</v>
      </c>
      <c r="E11" s="6" t="n">
        <f aca="false">COUNTIF('Değişiklik İlişkisi'!$E$4:$E$29,"Yüksek")</f>
        <v>6</v>
      </c>
    </row>
    <row r="12" customFormat="false" ht="15" hidden="false" customHeight="false" outlineLevel="0" collapsed="false">
      <c r="A12" s="5" t="s">
        <v>16</v>
      </c>
      <c r="B12" s="6" t="n">
        <f aca="false">COUNTIF('Olay Listesi'!$I$2:$I$65,"Evet")</f>
        <v>14</v>
      </c>
    </row>
    <row r="13" customFormat="false" ht="15" hidden="false" customHeight="false" outlineLevel="0" collapsed="false">
      <c r="A13" s="5" t="s">
        <v>17</v>
      </c>
      <c r="B13" s="10" t="n">
        <f aca="false">B12/B6</f>
        <v>0.21875</v>
      </c>
      <c r="D13" s="11" t="s">
        <v>18</v>
      </c>
    </row>
    <row r="14" customFormat="false" ht="15" hidden="false" customHeight="false" outlineLevel="0" collapsed="false">
      <c r="A14" s="5" t="s">
        <v>19</v>
      </c>
      <c r="B14" s="12" t="n">
        <f aca="false">IFERROR(AVERAGEIF('Olay Listesi'!$J$2:$J$65,"İhlal",'Olay Listesi'!$K$2:$K$65),0)</f>
        <v>196.25</v>
      </c>
      <c r="D14" s="13" t="str">
        <f aca="false">" En yüksek ihlalli örüntü: "&amp;INDEX('Kök Neden Pivot'!$A$4:$A$10,MATCH(MAX('Kök Neden Pivot'!$E$4:$E$10),'Kök Neden Pivot'!$E$4:$E$10,0))&amp;" ("&amp;TEXT(MAX('Kök Neden Pivot'!$E$4:$E$10),"0.0%")&amp;")"</f>
        <v> En yüksek ihlalli örüntü: Sürüm/Dağıtım (87.5%)</v>
      </c>
      <c r="E14" s="13"/>
      <c r="F14" s="13"/>
      <c r="G14" s="13"/>
    </row>
    <row r="15" customFormat="false" ht="15" hidden="false" customHeight="false" outlineLevel="0" collapsed="false">
      <c r="D15" s="13" t="str">
        <f aca="false">" En sık kök neden: "&amp;INDEX('Kök Neden Pivot'!$A$15:$A$21,MATCH(MAX('Kök Neden Pivot'!$F$15:$F$21),'Kök Neden Pivot'!$F$15:$F$21,0))&amp;" ("&amp;MAX('Kök Neden Pivot'!$F$15:$F$21)&amp;" olay)"</f>
        <v> En sık kök neden: Veritabanı kilidi (13 olay)</v>
      </c>
      <c r="E15" s="13"/>
      <c r="F15" s="13"/>
      <c r="G15" s="13"/>
    </row>
    <row r="17" customFormat="false" ht="15" hidden="false" customHeight="false" outlineLevel="0" collapsed="false">
      <c r="A17" s="4" t="s">
        <v>20</v>
      </c>
      <c r="B17" s="4"/>
      <c r="C17" s="4"/>
      <c r="D17" s="4"/>
      <c r="E17" s="4"/>
      <c r="F17" s="4"/>
      <c r="G17" s="4"/>
    </row>
    <row r="18" customFormat="false" ht="26.85" hidden="false" customHeight="false" outlineLevel="0" collapsed="false">
      <c r="A18" s="14" t="s">
        <v>21</v>
      </c>
      <c r="B18" s="14" t="s">
        <v>22</v>
      </c>
      <c r="C18" s="14" t="s">
        <v>23</v>
      </c>
      <c r="D18" s="14" t="s">
        <v>24</v>
      </c>
      <c r="E18" s="14" t="s">
        <v>25</v>
      </c>
      <c r="F18" s="14" t="s">
        <v>26</v>
      </c>
      <c r="G18" s="14" t="s">
        <v>27</v>
      </c>
    </row>
    <row r="19" customFormat="false" ht="15" hidden="false" customHeight="false" outlineLevel="0" collapsed="false">
      <c r="A19" s="15" t="s">
        <v>28</v>
      </c>
      <c r="B19" s="16" t="n">
        <f aca="false">COUNTIF('Olay Listesi'!$D$2:$D$65,"P1")</f>
        <v>15</v>
      </c>
      <c r="C19" s="17" t="n">
        <f aca="false">IFERROR(AVERAGEIF('Olay Listesi'!$D$2:$D$65,"P1",'Olay Listesi'!$F$2:$F$65),0)</f>
        <v>80.0666666666667</v>
      </c>
      <c r="D19" s="18" t="n">
        <f aca="false">IFERROR(AVERAGEIF('Olay Listesi'!$D$2:$D$65,"P1",'Olay Listesi'!$G$2:$G$65),0)</f>
        <v>60</v>
      </c>
      <c r="E19" s="16" t="n">
        <f aca="false">COUNTIFS('Olay Listesi'!$D$2:$D$65,"P1",'Olay Listesi'!$J$2:$J$65,"İhlal")</f>
        <v>11</v>
      </c>
      <c r="F19" s="19" t="n">
        <f aca="false">IFERROR(E19/B19,0)</f>
        <v>0.733333333333333</v>
      </c>
      <c r="G19" s="19" t="n">
        <f aca="false">IFERROR(B19/$B$23,0)</f>
        <v>0.234375</v>
      </c>
    </row>
    <row r="20" customFormat="false" ht="15" hidden="false" customHeight="false" outlineLevel="0" collapsed="false">
      <c r="A20" s="20" t="s">
        <v>29</v>
      </c>
      <c r="B20" s="16" t="n">
        <f aca="false">COUNTIF('Olay Listesi'!$D$2:$D$65,"P2")</f>
        <v>19</v>
      </c>
      <c r="C20" s="17" t="n">
        <f aca="false">IFERROR(AVERAGEIF('Olay Listesi'!$D$2:$D$65,"P2",'Olay Listesi'!$F$2:$F$65),0)</f>
        <v>314.157894736842</v>
      </c>
      <c r="D20" s="18" t="n">
        <f aca="false">IFERROR(AVERAGEIF('Olay Listesi'!$D$2:$D$65,"P2",'Olay Listesi'!$G$2:$G$65),0)</f>
        <v>240</v>
      </c>
      <c r="E20" s="16" t="n">
        <f aca="false">COUNTIFS('Olay Listesi'!$D$2:$D$65,"P2",'Olay Listesi'!$J$2:$J$65,"İhlal")</f>
        <v>14</v>
      </c>
      <c r="F20" s="19" t="n">
        <f aca="false">IFERROR(E20/B20,0)</f>
        <v>0.736842105263158</v>
      </c>
      <c r="G20" s="19" t="n">
        <f aca="false">IFERROR(B20/$B$23,0)</f>
        <v>0.296875</v>
      </c>
    </row>
    <row r="21" customFormat="false" ht="15" hidden="false" customHeight="false" outlineLevel="0" collapsed="false">
      <c r="A21" s="21" t="s">
        <v>30</v>
      </c>
      <c r="B21" s="16" t="n">
        <f aca="false">COUNTIF('Olay Listesi'!$D$2:$D$65,"P3")</f>
        <v>18</v>
      </c>
      <c r="C21" s="17" t="n">
        <f aca="false">IFERROR(AVERAGEIF('Olay Listesi'!$D$2:$D$65,"P3",'Olay Listesi'!$F$2:$F$65),0)</f>
        <v>509.888888888889</v>
      </c>
      <c r="D21" s="18" t="n">
        <f aca="false">IFERROR(AVERAGEIF('Olay Listesi'!$D$2:$D$65,"P3",'Olay Listesi'!$G$2:$G$65),0)</f>
        <v>480</v>
      </c>
      <c r="E21" s="16" t="n">
        <f aca="false">COUNTIFS('Olay Listesi'!$D$2:$D$65,"P3",'Olay Listesi'!$J$2:$J$65,"İhlal")</f>
        <v>8</v>
      </c>
      <c r="F21" s="19" t="n">
        <f aca="false">IFERROR(E21/B21,0)</f>
        <v>0.444444444444444</v>
      </c>
      <c r="G21" s="19" t="n">
        <f aca="false">IFERROR(B21/$B$23,0)</f>
        <v>0.28125</v>
      </c>
    </row>
    <row r="22" customFormat="false" ht="15" hidden="false" customHeight="false" outlineLevel="0" collapsed="false">
      <c r="A22" s="22" t="s">
        <v>31</v>
      </c>
      <c r="B22" s="16" t="n">
        <f aca="false">COUNTIF('Olay Listesi'!$D$2:$D$65,"P4")</f>
        <v>12</v>
      </c>
      <c r="C22" s="17" t="n">
        <f aca="false">IFERROR(AVERAGEIF('Olay Listesi'!$D$2:$D$65,"P4",'Olay Listesi'!$F$2:$F$65),0)</f>
        <v>1558.5</v>
      </c>
      <c r="D22" s="18" t="n">
        <f aca="false">IFERROR(AVERAGEIF('Olay Listesi'!$D$2:$D$65,"P4",'Olay Listesi'!$G$2:$G$65),0)</f>
        <v>1440</v>
      </c>
      <c r="E22" s="16" t="n">
        <f aca="false">COUNTIFS('Olay Listesi'!$D$2:$D$65,"P4",'Olay Listesi'!$J$2:$J$65,"İhlal")</f>
        <v>7</v>
      </c>
      <c r="F22" s="19" t="n">
        <f aca="false">IFERROR(E22/B22,0)</f>
        <v>0.583333333333333</v>
      </c>
      <c r="G22" s="19" t="n">
        <f aca="false">IFERROR(B22/$B$23,0)</f>
        <v>0.1875</v>
      </c>
    </row>
    <row r="23" customFormat="false" ht="15" hidden="false" customHeight="false" outlineLevel="0" collapsed="false">
      <c r="A23" s="23" t="s">
        <v>32</v>
      </c>
      <c r="B23" s="23" t="n">
        <f aca="false">SUM(B19:B22)</f>
        <v>64</v>
      </c>
      <c r="C23" s="24" t="n">
        <f aca="false">IFERROR(AVERAGE('Olay Listesi'!$F$2:$F$65),0)</f>
        <v>547.65625</v>
      </c>
      <c r="D23" s="23"/>
      <c r="E23" s="23" t="n">
        <f aca="false">SUM(E19:E22)</f>
        <v>40</v>
      </c>
      <c r="F23" s="25" t="n">
        <f aca="false">IFERROR(E23/B23,0)</f>
        <v>0.625</v>
      </c>
      <c r="G23" s="25" t="n">
        <f aca="false">SUM(G19:G22)</f>
        <v>1</v>
      </c>
    </row>
    <row r="25" customFormat="false" ht="15" hidden="false" customHeight="false" outlineLevel="0" collapsed="false">
      <c r="A25" s="4" t="s">
        <v>33</v>
      </c>
      <c r="B25" s="4"/>
      <c r="C25" s="4"/>
      <c r="D25" s="4"/>
      <c r="E25" s="4"/>
      <c r="F25" s="4"/>
      <c r="G25" s="4"/>
    </row>
    <row r="26" customFormat="false" ht="15" hidden="false" customHeight="false" outlineLevel="0" collapsed="false">
      <c r="A26" s="14" t="s">
        <v>34</v>
      </c>
      <c r="B26" s="14" t="s">
        <v>22</v>
      </c>
      <c r="C26" s="14" t="s">
        <v>23</v>
      </c>
      <c r="D26" s="14" t="s">
        <v>25</v>
      </c>
      <c r="E26" s="14" t="s">
        <v>26</v>
      </c>
      <c r="F26" s="14" t="s">
        <v>35</v>
      </c>
      <c r="G26" s="14" t="s">
        <v>36</v>
      </c>
    </row>
    <row r="27" customFormat="false" ht="15" hidden="false" customHeight="false" outlineLevel="0" collapsed="false">
      <c r="A27" s="26" t="s">
        <v>37</v>
      </c>
      <c r="B27" s="16" t="n">
        <f aca="false">COUNTIF('Olay Listesi'!$C$2:$C$65,"Bildirim Servisi")</f>
        <v>16</v>
      </c>
      <c r="C27" s="17" t="n">
        <f aca="false">IFERROR(AVERAGEIF('Olay Listesi'!$C$2:$C$65,"Bildirim Servisi",'Olay Listesi'!$F$2:$F$65),0)</f>
        <v>375.75</v>
      </c>
      <c r="D27" s="16" t="n">
        <f aca="false">COUNTIFS('Olay Listesi'!$C$2:$C$65,"Bildirim Servisi",'Olay Listesi'!$J$2:$J$65,"İhlal")</f>
        <v>10</v>
      </c>
      <c r="E27" s="19" t="n">
        <f aca="false">IFERROR(D27/B27,0)</f>
        <v>0.625</v>
      </c>
      <c r="F27" s="16" t="n">
        <f aca="false">COUNTIF('Değişiklik İlişkisi'!$C$4:$C$29,"Bildirim Servisi")</f>
        <v>6</v>
      </c>
      <c r="G27" s="16" t="n">
        <f aca="false">COUNTIFS('Değişiklik İlişkisi'!$C$4:$C$29,"Bildirim Servisi",'Değişiklik İlişkisi'!$F$4:$F$29,"Geri alındı")</f>
        <v>4</v>
      </c>
    </row>
    <row r="28" customFormat="false" ht="15" hidden="false" customHeight="false" outlineLevel="0" collapsed="false">
      <c r="A28" s="26" t="s">
        <v>38</v>
      </c>
      <c r="B28" s="16" t="n">
        <f aca="false">COUNTIF('Olay Listesi'!$C$2:$C$65,"API Geçidi")</f>
        <v>12</v>
      </c>
      <c r="C28" s="17" t="n">
        <f aca="false">IFERROR(AVERAGEIF('Olay Listesi'!$C$2:$C$65,"API Geçidi",'Olay Listesi'!$F$2:$F$65),0)</f>
        <v>465.916666666667</v>
      </c>
      <c r="D28" s="16" t="n">
        <f aca="false">COUNTIFS('Olay Listesi'!$C$2:$C$65,"API Geçidi",'Olay Listesi'!$J$2:$J$65,"İhlal")</f>
        <v>8</v>
      </c>
      <c r="E28" s="19" t="n">
        <f aca="false">IFERROR(D28/B28,0)</f>
        <v>0.666666666666667</v>
      </c>
      <c r="F28" s="16" t="n">
        <f aca="false">COUNTIF('Değişiklik İlişkisi'!$C$4:$C$29,"API Geçidi")</f>
        <v>2</v>
      </c>
      <c r="G28" s="16" t="n">
        <f aca="false">COUNTIFS('Değişiklik İlişkisi'!$C$4:$C$29,"API Geçidi",'Değişiklik İlişkisi'!$F$4:$F$29,"Geri alındı")</f>
        <v>0</v>
      </c>
    </row>
    <row r="29" customFormat="false" ht="15" hidden="false" customHeight="false" outlineLevel="0" collapsed="false">
      <c r="A29" s="26" t="s">
        <v>39</v>
      </c>
      <c r="B29" s="16" t="n">
        <f aca="false">COUNTIF('Olay Listesi'!$C$2:$C$65,"Çekirdek Bankacılık")</f>
        <v>12</v>
      </c>
      <c r="C29" s="17" t="n">
        <f aca="false">IFERROR(AVERAGEIF('Olay Listesi'!$C$2:$C$65,"Çekirdek Bankacılık",'Olay Listesi'!$F$2:$F$65),0)</f>
        <v>479.25</v>
      </c>
      <c r="D29" s="16" t="n">
        <f aca="false">COUNTIFS('Olay Listesi'!$C$2:$C$65,"Çekirdek Bankacılık",'Olay Listesi'!$J$2:$J$65,"İhlal")</f>
        <v>7</v>
      </c>
      <c r="E29" s="19" t="n">
        <f aca="false">IFERROR(D29/B29,0)</f>
        <v>0.583333333333333</v>
      </c>
      <c r="F29" s="16" t="n">
        <f aca="false">COUNTIF('Değişiklik İlişkisi'!$C$4:$C$29,"Çekirdek Bankacılık")</f>
        <v>6</v>
      </c>
      <c r="G29" s="16" t="n">
        <f aca="false">COUNTIFS('Değişiklik İlişkisi'!$C$4:$C$29,"Çekirdek Bankacılık",'Değişiklik İlişkisi'!$F$4:$F$29,"Geri alındı")</f>
        <v>1</v>
      </c>
    </row>
    <row r="30" customFormat="false" ht="15" hidden="false" customHeight="false" outlineLevel="0" collapsed="false">
      <c r="A30" s="26" t="s">
        <v>40</v>
      </c>
      <c r="B30" s="16" t="n">
        <f aca="false">COUNTIF('Olay Listesi'!$C$2:$C$65,"Ödeme Servisi")</f>
        <v>10</v>
      </c>
      <c r="C30" s="17" t="n">
        <f aca="false">IFERROR(AVERAGEIF('Olay Listesi'!$C$2:$C$65,"Ödeme Servisi",'Olay Listesi'!$F$2:$F$65),0)</f>
        <v>993.1</v>
      </c>
      <c r="D30" s="16" t="n">
        <f aca="false">COUNTIFS('Olay Listesi'!$C$2:$C$65,"Ödeme Servisi",'Olay Listesi'!$J$2:$J$65,"İhlal")</f>
        <v>6</v>
      </c>
      <c r="E30" s="19" t="n">
        <f aca="false">IFERROR(D30/B30,0)</f>
        <v>0.6</v>
      </c>
      <c r="F30" s="16" t="n">
        <f aca="false">COUNTIF('Değişiklik İlişkisi'!$C$4:$C$29,"Ödeme Servisi")</f>
        <v>6</v>
      </c>
      <c r="G30" s="16" t="n">
        <f aca="false">COUNTIFS('Değişiklik İlişkisi'!$C$4:$C$29,"Ödeme Servisi",'Değişiklik İlişkisi'!$F$4:$F$29,"Geri alındı")</f>
        <v>0</v>
      </c>
    </row>
    <row r="31" customFormat="false" ht="15" hidden="false" customHeight="false" outlineLevel="0" collapsed="false">
      <c r="A31" s="26" t="s">
        <v>41</v>
      </c>
      <c r="B31" s="16" t="n">
        <f aca="false">COUNTIF('Olay Listesi'!$C$2:$C$65,"Mobil Uygulama")</f>
        <v>8</v>
      </c>
      <c r="C31" s="17" t="n">
        <f aca="false">IFERROR(AVERAGEIF('Olay Listesi'!$C$2:$C$65,"Mobil Uygulama",'Olay Listesi'!$F$2:$F$65),0)</f>
        <v>262.375</v>
      </c>
      <c r="D31" s="16" t="n">
        <f aca="false">COUNTIFS('Olay Listesi'!$C$2:$C$65,"Mobil Uygulama",'Olay Listesi'!$J$2:$J$65,"İhlal")</f>
        <v>5</v>
      </c>
      <c r="E31" s="19" t="n">
        <f aca="false">IFERROR(D31/B31,0)</f>
        <v>0.625</v>
      </c>
      <c r="F31" s="16" t="n">
        <f aca="false">COUNTIF('Değişiklik İlişkisi'!$C$4:$C$29,"Mobil Uygulama")</f>
        <v>4</v>
      </c>
      <c r="G31" s="16" t="n">
        <f aca="false">COUNTIFS('Değişiklik İlişkisi'!$C$4:$C$29,"Mobil Uygulama",'Değişiklik İlişkisi'!$F$4:$F$29,"Geri alındı")</f>
        <v>0</v>
      </c>
    </row>
    <row r="32" customFormat="false" ht="15" hidden="false" customHeight="false" outlineLevel="0" collapsed="false">
      <c r="A32" s="26" t="s">
        <v>42</v>
      </c>
      <c r="B32" s="16" t="n">
        <f aca="false">COUNTIF('Olay Listesi'!$C$2:$C$65,"İnternet Şubesi")</f>
        <v>6</v>
      </c>
      <c r="C32" s="17" t="n">
        <f aca="false">IFERROR(AVERAGEIF('Olay Listesi'!$C$2:$C$65,"İnternet Şubesi",'Olay Listesi'!$F$2:$F$65),0)</f>
        <v>944.333333333333</v>
      </c>
      <c r="D32" s="16" t="n">
        <f aca="false">COUNTIFS('Olay Listesi'!$C$2:$C$65,"İnternet Şubesi",'Olay Listesi'!$J$2:$J$65,"İhlal")</f>
        <v>4</v>
      </c>
      <c r="E32" s="19" t="n">
        <f aca="false">IFERROR(D32/B32,0)</f>
        <v>0.666666666666667</v>
      </c>
      <c r="F32" s="16" t="n">
        <f aca="false">COUNTIF('Değişiklik İlişkisi'!$C$4:$C$29,"İnternet Şubesi")</f>
        <v>1</v>
      </c>
      <c r="G32" s="16" t="n">
        <f aca="false">COUNTIFS('Değişiklik İlişkisi'!$C$4:$C$29,"İnternet Şubesi",'Değişiklik İlişkisi'!$F$4:$F$29,"Geri alındı")</f>
        <v>0</v>
      </c>
    </row>
    <row r="33" customFormat="false" ht="15" hidden="false" customHeight="false" outlineLevel="0" collapsed="false">
      <c r="A33" s="23" t="s">
        <v>32</v>
      </c>
      <c r="B33" s="23" t="n">
        <f aca="false">SUM(B27:B32)</f>
        <v>64</v>
      </c>
      <c r="C33" s="24" t="n">
        <f aca="false">IFERROR(AVERAGE('Olay Listesi'!$F$2:$F$65),0)</f>
        <v>547.65625</v>
      </c>
      <c r="D33" s="23" t="n">
        <f aca="false">SUM(D27:D32)</f>
        <v>40</v>
      </c>
      <c r="E33" s="25" t="n">
        <f aca="false">IFERROR(D33/B33,0)</f>
        <v>0.625</v>
      </c>
      <c r="F33" s="23" t="n">
        <f aca="false">SUM(F27:F32)</f>
        <v>25</v>
      </c>
      <c r="G33" s="23" t="n">
        <f aca="false">SUM(G27:G32)</f>
        <v>5</v>
      </c>
    </row>
  </sheetData>
  <mergeCells count="8">
    <mergeCell ref="A1:G1"/>
    <mergeCell ref="A2:G2"/>
    <mergeCell ref="A3:G3"/>
    <mergeCell ref="A5:G5"/>
    <mergeCell ref="D14:G14"/>
    <mergeCell ref="D15:G15"/>
    <mergeCell ref="A17:G17"/>
    <mergeCell ref="A25:G25"/>
  </mergeCells>
  <conditionalFormatting sqref="F19:F22 E27:E32">
    <cfRule type="colorScale" priority="2">
      <colorScale>
        <cfvo type="num" val="0"/>
        <cfvo type="num" val="0.5"/>
        <cfvo type="num" val="1"/>
        <color rgb="FFC6EFCE"/>
        <color rgb="FFFFEB9C"/>
        <color rgb="FFF8696B"/>
      </colorScale>
    </cfRule>
  </conditionalFormatting>
  <conditionalFormatting sqref="B10">
    <cfRule type="cellIs" priority="3" operator="greaterThan" aboveAverage="0" equalAverage="0" bottom="0" percent="0" rank="0" text="" dxfId="0">
      <formula>0.5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1"/>
    <col collapsed="false" customWidth="true" hidden="false" outlineLevel="0" max="3" min="3" style="0" width="19"/>
    <col collapsed="false" customWidth="true" hidden="false" outlineLevel="0" max="4" min="4" style="0" width="8"/>
    <col collapsed="false" customWidth="true" hidden="false" outlineLevel="0" max="5" min="5" style="0" width="11"/>
    <col collapsed="false" customWidth="true" hidden="false" outlineLevel="0" max="6" min="6" style="0" width="15"/>
    <col collapsed="false" customWidth="true" hidden="false" outlineLevel="0" max="7" min="7" style="0" width="13"/>
    <col collapsed="false" customWidth="true" hidden="false" outlineLevel="0" max="8" min="8" style="0" width="26"/>
    <col collapsed="false" customWidth="true" hidden="false" outlineLevel="0" max="9" min="9" style="0" width="13"/>
    <col collapsed="false" customWidth="true" hidden="false" outlineLevel="0" max="10" min="10" style="0" width="11"/>
    <col collapsed="false" customWidth="true" hidden="false" outlineLevel="0" max="11" min="11" style="0" width="12"/>
    <col collapsed="false" customWidth="true" hidden="false" outlineLevel="0" max="12" min="12" style="0" width="13"/>
    <col collapsed="false" customWidth="true" hidden="false" outlineLevel="0" max="13" min="13" style="0" width="16"/>
    <col collapsed="false" customWidth="true" hidden="false" outlineLevel="0" max="14" min="14" style="0" width="15"/>
  </cols>
  <sheetData>
    <row r="1" customFormat="false" ht="39.55" hidden="false" customHeight="false" outlineLevel="0" collapsed="false">
      <c r="A1" s="14" t="s">
        <v>43</v>
      </c>
      <c r="B1" s="14" t="s">
        <v>44</v>
      </c>
      <c r="C1" s="14" t="s">
        <v>34</v>
      </c>
      <c r="D1" s="14" t="s">
        <v>21</v>
      </c>
      <c r="E1" s="14" t="s">
        <v>45</v>
      </c>
      <c r="F1" s="14" t="s">
        <v>46</v>
      </c>
      <c r="G1" s="14" t="s">
        <v>24</v>
      </c>
      <c r="H1" s="14" t="s">
        <v>47</v>
      </c>
      <c r="I1" s="14" t="s">
        <v>48</v>
      </c>
      <c r="J1" s="14" t="s">
        <v>49</v>
      </c>
      <c r="K1" s="14" t="s">
        <v>50</v>
      </c>
      <c r="L1" s="14" t="s">
        <v>51</v>
      </c>
      <c r="M1" s="14" t="s">
        <v>52</v>
      </c>
      <c r="N1" s="14" t="s">
        <v>53</v>
      </c>
    </row>
    <row r="2" customFormat="false" ht="15" hidden="false" customHeight="false" outlineLevel="0" collapsed="false">
      <c r="A2" s="27" t="s">
        <v>54</v>
      </c>
      <c r="B2" s="28" t="n">
        <v>46203</v>
      </c>
      <c r="C2" s="27" t="s">
        <v>40</v>
      </c>
      <c r="D2" s="27" t="s">
        <v>31</v>
      </c>
      <c r="E2" s="27" t="s">
        <v>55</v>
      </c>
      <c r="F2" s="29" t="n">
        <v>1559</v>
      </c>
      <c r="G2" s="29" t="n">
        <v>1440</v>
      </c>
      <c r="H2" s="27" t="s">
        <v>56</v>
      </c>
      <c r="I2" s="27" t="s">
        <v>57</v>
      </c>
      <c r="J2" s="16" t="str">
        <f aca="false">IF(F2&gt;G2,"İhlal","Uygun")</f>
        <v>İhlal</v>
      </c>
      <c r="K2" s="29" t="n">
        <f aca="false">MAX(0,F2-G2)</f>
        <v>119</v>
      </c>
      <c r="L2" s="30" t="n">
        <f aca="false">IFERROR(F2/G2,0)</f>
        <v>1.08263888888889</v>
      </c>
      <c r="M2" s="16" t="n">
        <f aca="false">COUNTIF('Değişiklik İlişkisi'!$C$4:$C$29,C2)</f>
        <v>6</v>
      </c>
      <c r="N2" s="27" t="str">
        <f aca="false">IFERROR(VLOOKUP(H2,'Kök Neden Pivot'!$N$2:$O$8,2,FALSE()),H2)</f>
        <v>Kapasite</v>
      </c>
    </row>
    <row r="3" customFormat="false" ht="15" hidden="false" customHeight="false" outlineLevel="0" collapsed="false">
      <c r="A3" s="27" t="s">
        <v>58</v>
      </c>
      <c r="B3" s="28" t="n">
        <v>46205</v>
      </c>
      <c r="C3" s="27" t="s">
        <v>39</v>
      </c>
      <c r="D3" s="27" t="s">
        <v>29</v>
      </c>
      <c r="E3" s="27" t="s">
        <v>59</v>
      </c>
      <c r="F3" s="29" t="n">
        <v>280</v>
      </c>
      <c r="G3" s="29" t="n">
        <v>240</v>
      </c>
      <c r="H3" s="27" t="s">
        <v>60</v>
      </c>
      <c r="I3" s="27" t="s">
        <v>57</v>
      </c>
      <c r="J3" s="16" t="str">
        <f aca="false">IF(F3&gt;G3,"İhlal","Uygun")</f>
        <v>İhlal</v>
      </c>
      <c r="K3" s="29" t="n">
        <f aca="false">MAX(0,F3-G3)</f>
        <v>40</v>
      </c>
      <c r="L3" s="30" t="n">
        <f aca="false">IFERROR(F3/G3,0)</f>
        <v>1.16666666666667</v>
      </c>
      <c r="M3" s="16" t="n">
        <f aca="false">COUNTIF('Değişiklik İlişkisi'!$C$4:$C$29,C3)</f>
        <v>6</v>
      </c>
      <c r="N3" s="27" t="str">
        <f aca="false">IFERROR(VLOOKUP(H3,'Kök Neden Pivot'!$N$2:$O$8,2,FALSE()),H3)</f>
        <v>Veritabanı</v>
      </c>
    </row>
    <row r="4" customFormat="false" ht="15" hidden="false" customHeight="false" outlineLevel="0" collapsed="false">
      <c r="A4" s="27" t="s">
        <v>61</v>
      </c>
      <c r="B4" s="28" t="n">
        <v>46205</v>
      </c>
      <c r="C4" s="27" t="s">
        <v>40</v>
      </c>
      <c r="D4" s="27" t="s">
        <v>31</v>
      </c>
      <c r="E4" s="27" t="s">
        <v>62</v>
      </c>
      <c r="F4" s="29" t="n">
        <v>2108</v>
      </c>
      <c r="G4" s="29" t="n">
        <v>1440</v>
      </c>
      <c r="H4" s="27" t="s">
        <v>63</v>
      </c>
      <c r="I4" s="27" t="s">
        <v>57</v>
      </c>
      <c r="J4" s="16" t="str">
        <f aca="false">IF(F4&gt;G4,"İhlal","Uygun")</f>
        <v>İhlal</v>
      </c>
      <c r="K4" s="29" t="n">
        <f aca="false">MAX(0,F4-G4)</f>
        <v>668</v>
      </c>
      <c r="L4" s="30" t="n">
        <f aca="false">IFERROR(F4/G4,0)</f>
        <v>1.46388888888889</v>
      </c>
      <c r="M4" s="16" t="n">
        <f aca="false">COUNTIF('Değişiklik İlişkisi'!$C$4:$C$29,C4)</f>
        <v>6</v>
      </c>
      <c r="N4" s="27" t="str">
        <f aca="false">IFERROR(VLOOKUP(H4,'Kök Neden Pivot'!$N$2:$O$8,2,FALSE()),H4)</f>
        <v>Altyapı/Ağ</v>
      </c>
    </row>
    <row r="5" customFormat="false" ht="15" hidden="false" customHeight="false" outlineLevel="0" collapsed="false">
      <c r="A5" s="27" t="s">
        <v>64</v>
      </c>
      <c r="B5" s="28" t="n">
        <v>46202</v>
      </c>
      <c r="C5" s="27" t="s">
        <v>37</v>
      </c>
      <c r="D5" s="27" t="s">
        <v>28</v>
      </c>
      <c r="E5" s="27" t="s">
        <v>65</v>
      </c>
      <c r="F5" s="29" t="n">
        <v>32</v>
      </c>
      <c r="G5" s="29" t="n">
        <v>60</v>
      </c>
      <c r="H5" s="27" t="s">
        <v>66</v>
      </c>
      <c r="I5" s="27" t="s">
        <v>57</v>
      </c>
      <c r="J5" s="16" t="str">
        <f aca="false">IF(F5&gt;G5,"İhlal","Uygun")</f>
        <v>Uygun</v>
      </c>
      <c r="K5" s="29" t="n">
        <f aca="false">MAX(0,F5-G5)</f>
        <v>0</v>
      </c>
      <c r="L5" s="30" t="n">
        <f aca="false">IFERROR(F5/G5,0)</f>
        <v>0.533333333333333</v>
      </c>
      <c r="M5" s="16" t="n">
        <f aca="false">COUNTIF('Değişiklik İlişkisi'!$C$4:$C$29,C5)</f>
        <v>6</v>
      </c>
      <c r="N5" s="27" t="str">
        <f aca="false">IFERROR(VLOOKUP(H5,'Kök Neden Pivot'!$N$2:$O$8,2,FALSE()),H5)</f>
        <v>Sürüm/Dağıtım</v>
      </c>
    </row>
    <row r="6" customFormat="false" ht="15" hidden="false" customHeight="false" outlineLevel="0" collapsed="false">
      <c r="A6" s="27" t="s">
        <v>67</v>
      </c>
      <c r="B6" s="28" t="n">
        <v>46203</v>
      </c>
      <c r="C6" s="27" t="s">
        <v>41</v>
      </c>
      <c r="D6" s="27" t="s">
        <v>28</v>
      </c>
      <c r="E6" s="27" t="s">
        <v>68</v>
      </c>
      <c r="F6" s="29" t="n">
        <v>71</v>
      </c>
      <c r="G6" s="29" t="n">
        <v>60</v>
      </c>
      <c r="H6" s="27" t="s">
        <v>69</v>
      </c>
      <c r="I6" s="27" t="s">
        <v>57</v>
      </c>
      <c r="J6" s="16" t="str">
        <f aca="false">IF(F6&gt;G6,"İhlal","Uygun")</f>
        <v>İhlal</v>
      </c>
      <c r="K6" s="29" t="n">
        <f aca="false">MAX(0,F6-G6)</f>
        <v>11</v>
      </c>
      <c r="L6" s="30" t="n">
        <f aca="false">IFERROR(F6/G6,0)</f>
        <v>1.18333333333333</v>
      </c>
      <c r="M6" s="16" t="n">
        <f aca="false">COUNTIF('Değişiklik İlişkisi'!$C$4:$C$29,C6)</f>
        <v>4</v>
      </c>
      <c r="N6" s="27" t="str">
        <f aca="false">IFERROR(VLOOKUP(H6,'Kök Neden Pivot'!$N$2:$O$8,2,FALSE()),H6)</f>
        <v>Konfigürasyon</v>
      </c>
    </row>
    <row r="7" customFormat="false" ht="15" hidden="false" customHeight="false" outlineLevel="0" collapsed="false">
      <c r="A7" s="27" t="s">
        <v>70</v>
      </c>
      <c r="B7" s="28" t="n">
        <v>46208</v>
      </c>
      <c r="C7" s="27" t="s">
        <v>42</v>
      </c>
      <c r="D7" s="27" t="s">
        <v>29</v>
      </c>
      <c r="E7" s="27" t="s">
        <v>71</v>
      </c>
      <c r="F7" s="29" t="n">
        <v>367</v>
      </c>
      <c r="G7" s="29" t="n">
        <v>240</v>
      </c>
      <c r="H7" s="27" t="s">
        <v>66</v>
      </c>
      <c r="I7" s="27" t="s">
        <v>57</v>
      </c>
      <c r="J7" s="16" t="str">
        <f aca="false">IF(F7&gt;G7,"İhlal","Uygun")</f>
        <v>İhlal</v>
      </c>
      <c r="K7" s="29" t="n">
        <f aca="false">MAX(0,F7-G7)</f>
        <v>127</v>
      </c>
      <c r="L7" s="30" t="n">
        <f aca="false">IFERROR(F7/G7,0)</f>
        <v>1.52916666666667</v>
      </c>
      <c r="M7" s="16" t="n">
        <f aca="false">COUNTIF('Değişiklik İlişkisi'!$C$4:$C$29,C7)</f>
        <v>1</v>
      </c>
      <c r="N7" s="27" t="str">
        <f aca="false">IFERROR(VLOOKUP(H7,'Kök Neden Pivot'!$N$2:$O$8,2,FALSE()),H7)</f>
        <v>Sürüm/Dağıtım</v>
      </c>
    </row>
    <row r="8" customFormat="false" ht="15" hidden="false" customHeight="false" outlineLevel="0" collapsed="false">
      <c r="A8" s="27" t="s">
        <v>72</v>
      </c>
      <c r="B8" s="28" t="n">
        <v>46203</v>
      </c>
      <c r="C8" s="27" t="s">
        <v>38</v>
      </c>
      <c r="D8" s="27" t="s">
        <v>30</v>
      </c>
      <c r="E8" s="27" t="s">
        <v>73</v>
      </c>
      <c r="F8" s="29" t="n">
        <v>462</v>
      </c>
      <c r="G8" s="29" t="n">
        <v>480</v>
      </c>
      <c r="H8" s="27" t="s">
        <v>74</v>
      </c>
      <c r="I8" s="27" t="s">
        <v>75</v>
      </c>
      <c r="J8" s="16" t="str">
        <f aca="false">IF(F8&gt;G8,"İhlal","Uygun")</f>
        <v>Uygun</v>
      </c>
      <c r="K8" s="29" t="n">
        <f aca="false">MAX(0,F8-G8)</f>
        <v>0</v>
      </c>
      <c r="L8" s="30" t="n">
        <f aca="false">IFERROR(F8/G8,0)</f>
        <v>0.9625</v>
      </c>
      <c r="M8" s="16" t="n">
        <f aca="false">COUNTIF('Değişiklik İlişkisi'!$C$4:$C$29,C8)</f>
        <v>2</v>
      </c>
      <c r="N8" s="27" t="str">
        <f aca="false">IFERROR(VLOOKUP(H8,'Kök Neden Pivot'!$N$2:$O$8,2,FALSE()),H8)</f>
        <v>Kimlik/Sertifika</v>
      </c>
    </row>
    <row r="9" customFormat="false" ht="15" hidden="false" customHeight="false" outlineLevel="0" collapsed="false">
      <c r="A9" s="27" t="s">
        <v>76</v>
      </c>
      <c r="B9" s="28" t="n">
        <v>46203</v>
      </c>
      <c r="C9" s="27" t="s">
        <v>39</v>
      </c>
      <c r="D9" s="27" t="s">
        <v>28</v>
      </c>
      <c r="E9" s="27" t="s">
        <v>77</v>
      </c>
      <c r="F9" s="29" t="n">
        <v>38</v>
      </c>
      <c r="G9" s="29" t="n">
        <v>60</v>
      </c>
      <c r="H9" s="27" t="s">
        <v>56</v>
      </c>
      <c r="I9" s="27" t="s">
        <v>57</v>
      </c>
      <c r="J9" s="16" t="str">
        <f aca="false">IF(F9&gt;G9,"İhlal","Uygun")</f>
        <v>Uygun</v>
      </c>
      <c r="K9" s="29" t="n">
        <f aca="false">MAX(0,F9-G9)</f>
        <v>0</v>
      </c>
      <c r="L9" s="30" t="n">
        <f aca="false">IFERROR(F9/G9,0)</f>
        <v>0.633333333333333</v>
      </c>
      <c r="M9" s="16" t="n">
        <f aca="false">COUNTIF('Değişiklik İlişkisi'!$C$4:$C$29,C9)</f>
        <v>6</v>
      </c>
      <c r="N9" s="27" t="str">
        <f aca="false">IFERROR(VLOOKUP(H9,'Kök Neden Pivot'!$N$2:$O$8,2,FALSE()),H9)</f>
        <v>Kapasite</v>
      </c>
    </row>
    <row r="10" customFormat="false" ht="15" hidden="false" customHeight="false" outlineLevel="0" collapsed="false">
      <c r="A10" s="27" t="s">
        <v>78</v>
      </c>
      <c r="B10" s="28" t="n">
        <v>46203</v>
      </c>
      <c r="C10" s="27" t="s">
        <v>42</v>
      </c>
      <c r="D10" s="27" t="s">
        <v>29</v>
      </c>
      <c r="E10" s="27" t="s">
        <v>79</v>
      </c>
      <c r="F10" s="29" t="n">
        <v>232</v>
      </c>
      <c r="G10" s="29" t="n">
        <v>240</v>
      </c>
      <c r="H10" s="27" t="s">
        <v>80</v>
      </c>
      <c r="I10" s="27" t="s">
        <v>57</v>
      </c>
      <c r="J10" s="16" t="str">
        <f aca="false">IF(F10&gt;G10,"İhlal","Uygun")</f>
        <v>Uygun</v>
      </c>
      <c r="K10" s="29" t="n">
        <f aca="false">MAX(0,F10-G10)</f>
        <v>0</v>
      </c>
      <c r="L10" s="30" t="n">
        <f aca="false">IFERROR(F10/G10,0)</f>
        <v>0.966666666666667</v>
      </c>
      <c r="M10" s="16" t="n">
        <f aca="false">COUNTIF('Değişiklik İlişkisi'!$C$4:$C$29,C10)</f>
        <v>1</v>
      </c>
      <c r="N10" s="27" t="str">
        <f aca="false">IFERROR(VLOOKUP(H10,'Kök Neden Pivot'!$N$2:$O$8,2,FALSE()),H10)</f>
        <v>Üçüncü Taraf</v>
      </c>
    </row>
    <row r="11" customFormat="false" ht="15" hidden="false" customHeight="false" outlineLevel="0" collapsed="false">
      <c r="A11" s="27" t="s">
        <v>81</v>
      </c>
      <c r="B11" s="28" t="n">
        <v>46208</v>
      </c>
      <c r="C11" s="27" t="s">
        <v>41</v>
      </c>
      <c r="D11" s="27" t="s">
        <v>29</v>
      </c>
      <c r="E11" s="27" t="s">
        <v>82</v>
      </c>
      <c r="F11" s="29" t="n">
        <v>405</v>
      </c>
      <c r="G11" s="29" t="n">
        <v>240</v>
      </c>
      <c r="H11" s="27" t="s">
        <v>60</v>
      </c>
      <c r="I11" s="27" t="s">
        <v>57</v>
      </c>
      <c r="J11" s="16" t="str">
        <f aca="false">IF(F11&gt;G11,"İhlal","Uygun")</f>
        <v>İhlal</v>
      </c>
      <c r="K11" s="29" t="n">
        <f aca="false">MAX(0,F11-G11)</f>
        <v>165</v>
      </c>
      <c r="L11" s="30" t="n">
        <f aca="false">IFERROR(F11/G11,0)</f>
        <v>1.6875</v>
      </c>
      <c r="M11" s="16" t="n">
        <f aca="false">COUNTIF('Değişiklik İlişkisi'!$C$4:$C$29,C11)</f>
        <v>4</v>
      </c>
      <c r="N11" s="27" t="str">
        <f aca="false">IFERROR(VLOOKUP(H11,'Kök Neden Pivot'!$N$2:$O$8,2,FALSE()),H11)</f>
        <v>Veritabanı</v>
      </c>
    </row>
    <row r="12" customFormat="false" ht="15" hidden="false" customHeight="false" outlineLevel="0" collapsed="false">
      <c r="A12" s="27" t="s">
        <v>83</v>
      </c>
      <c r="B12" s="28" t="n">
        <v>46207</v>
      </c>
      <c r="C12" s="27" t="s">
        <v>37</v>
      </c>
      <c r="D12" s="27" t="s">
        <v>29</v>
      </c>
      <c r="E12" s="27" t="s">
        <v>84</v>
      </c>
      <c r="F12" s="29" t="n">
        <v>221</v>
      </c>
      <c r="G12" s="29" t="n">
        <v>240</v>
      </c>
      <c r="H12" s="27" t="s">
        <v>80</v>
      </c>
      <c r="I12" s="27" t="s">
        <v>75</v>
      </c>
      <c r="J12" s="16" t="str">
        <f aca="false">IF(F12&gt;G12,"İhlal","Uygun")</f>
        <v>Uygun</v>
      </c>
      <c r="K12" s="29" t="n">
        <f aca="false">MAX(0,F12-G12)</f>
        <v>0</v>
      </c>
      <c r="L12" s="30" t="n">
        <f aca="false">IFERROR(F12/G12,0)</f>
        <v>0.920833333333333</v>
      </c>
      <c r="M12" s="16" t="n">
        <f aca="false">COUNTIF('Değişiklik İlişkisi'!$C$4:$C$29,C12)</f>
        <v>6</v>
      </c>
      <c r="N12" s="27" t="str">
        <f aca="false">IFERROR(VLOOKUP(H12,'Kök Neden Pivot'!$N$2:$O$8,2,FALSE()),H12)</f>
        <v>Üçüncü Taraf</v>
      </c>
    </row>
    <row r="13" customFormat="false" ht="15" hidden="false" customHeight="false" outlineLevel="0" collapsed="false">
      <c r="A13" s="27" t="s">
        <v>85</v>
      </c>
      <c r="B13" s="28" t="n">
        <v>46207</v>
      </c>
      <c r="C13" s="27" t="s">
        <v>40</v>
      </c>
      <c r="D13" s="27" t="s">
        <v>29</v>
      </c>
      <c r="E13" s="27" t="s">
        <v>86</v>
      </c>
      <c r="F13" s="29" t="n">
        <v>224</v>
      </c>
      <c r="G13" s="29" t="n">
        <v>240</v>
      </c>
      <c r="H13" s="27" t="s">
        <v>63</v>
      </c>
      <c r="I13" s="27" t="s">
        <v>57</v>
      </c>
      <c r="J13" s="16" t="str">
        <f aca="false">IF(F13&gt;G13,"İhlal","Uygun")</f>
        <v>Uygun</v>
      </c>
      <c r="K13" s="29" t="n">
        <f aca="false">MAX(0,F13-G13)</f>
        <v>0</v>
      </c>
      <c r="L13" s="30" t="n">
        <f aca="false">IFERROR(F13/G13,0)</f>
        <v>0.933333333333333</v>
      </c>
      <c r="M13" s="16" t="n">
        <f aca="false">COUNTIF('Değişiklik İlişkisi'!$C$4:$C$29,C13)</f>
        <v>6</v>
      </c>
      <c r="N13" s="27" t="str">
        <f aca="false">IFERROR(VLOOKUP(H13,'Kök Neden Pivot'!$N$2:$O$8,2,FALSE()),H13)</f>
        <v>Altyapı/Ağ</v>
      </c>
    </row>
    <row r="14" customFormat="false" ht="15" hidden="false" customHeight="false" outlineLevel="0" collapsed="false">
      <c r="A14" s="27" t="s">
        <v>87</v>
      </c>
      <c r="B14" s="28" t="n">
        <v>46208</v>
      </c>
      <c r="C14" s="27" t="s">
        <v>39</v>
      </c>
      <c r="D14" s="27" t="s">
        <v>31</v>
      </c>
      <c r="E14" s="27" t="s">
        <v>88</v>
      </c>
      <c r="F14" s="29" t="n">
        <v>827</v>
      </c>
      <c r="G14" s="29" t="n">
        <v>1440</v>
      </c>
      <c r="H14" s="27" t="s">
        <v>74</v>
      </c>
      <c r="I14" s="27" t="s">
        <v>75</v>
      </c>
      <c r="J14" s="16" t="str">
        <f aca="false">IF(F14&gt;G14,"İhlal","Uygun")</f>
        <v>Uygun</v>
      </c>
      <c r="K14" s="29" t="n">
        <f aca="false">MAX(0,F14-G14)</f>
        <v>0</v>
      </c>
      <c r="L14" s="30" t="n">
        <f aca="false">IFERROR(F14/G14,0)</f>
        <v>0.574305555555556</v>
      </c>
      <c r="M14" s="16" t="n">
        <f aca="false">COUNTIF('Değişiklik İlişkisi'!$C$4:$C$29,C14)</f>
        <v>6</v>
      </c>
      <c r="N14" s="27" t="str">
        <f aca="false">IFERROR(VLOOKUP(H14,'Kök Neden Pivot'!$N$2:$O$8,2,FALSE()),H14)</f>
        <v>Kimlik/Sertifika</v>
      </c>
    </row>
    <row r="15" customFormat="false" ht="15" hidden="false" customHeight="false" outlineLevel="0" collapsed="false">
      <c r="A15" s="27" t="s">
        <v>89</v>
      </c>
      <c r="B15" s="28" t="n">
        <v>46207</v>
      </c>
      <c r="C15" s="27" t="s">
        <v>37</v>
      </c>
      <c r="D15" s="27" t="s">
        <v>29</v>
      </c>
      <c r="E15" s="27" t="s">
        <v>90</v>
      </c>
      <c r="F15" s="29" t="n">
        <v>402</v>
      </c>
      <c r="G15" s="29" t="n">
        <v>240</v>
      </c>
      <c r="H15" s="27" t="s">
        <v>60</v>
      </c>
      <c r="I15" s="27" t="s">
        <v>57</v>
      </c>
      <c r="J15" s="16" t="str">
        <f aca="false">IF(F15&gt;G15,"İhlal","Uygun")</f>
        <v>İhlal</v>
      </c>
      <c r="K15" s="29" t="n">
        <f aca="false">MAX(0,F15-G15)</f>
        <v>162</v>
      </c>
      <c r="L15" s="30" t="n">
        <f aca="false">IFERROR(F15/G15,0)</f>
        <v>1.675</v>
      </c>
      <c r="M15" s="16" t="n">
        <f aca="false">COUNTIF('Değişiklik İlişkisi'!$C$4:$C$29,C15)</f>
        <v>6</v>
      </c>
      <c r="N15" s="27" t="str">
        <f aca="false">IFERROR(VLOOKUP(H15,'Kök Neden Pivot'!$N$2:$O$8,2,FALSE()),H15)</f>
        <v>Veritabanı</v>
      </c>
    </row>
    <row r="16" customFormat="false" ht="15" hidden="false" customHeight="false" outlineLevel="0" collapsed="false">
      <c r="A16" s="27" t="s">
        <v>91</v>
      </c>
      <c r="B16" s="28" t="n">
        <v>46207</v>
      </c>
      <c r="C16" s="27" t="s">
        <v>40</v>
      </c>
      <c r="D16" s="27" t="s">
        <v>29</v>
      </c>
      <c r="E16" s="27" t="s">
        <v>92</v>
      </c>
      <c r="F16" s="29" t="n">
        <v>377</v>
      </c>
      <c r="G16" s="29" t="n">
        <v>240</v>
      </c>
      <c r="H16" s="27" t="s">
        <v>60</v>
      </c>
      <c r="I16" s="27" t="s">
        <v>57</v>
      </c>
      <c r="J16" s="16" t="str">
        <f aca="false">IF(F16&gt;G16,"İhlal","Uygun")</f>
        <v>İhlal</v>
      </c>
      <c r="K16" s="29" t="n">
        <f aca="false">MAX(0,F16-G16)</f>
        <v>137</v>
      </c>
      <c r="L16" s="30" t="n">
        <f aca="false">IFERROR(F16/G16,0)</f>
        <v>1.57083333333333</v>
      </c>
      <c r="M16" s="16" t="n">
        <f aca="false">COUNTIF('Değişiklik İlişkisi'!$C$4:$C$29,C16)</f>
        <v>6</v>
      </c>
      <c r="N16" s="27" t="str">
        <f aca="false">IFERROR(VLOOKUP(H16,'Kök Neden Pivot'!$N$2:$O$8,2,FALSE()),H16)</f>
        <v>Veritabanı</v>
      </c>
    </row>
    <row r="17" customFormat="false" ht="15" hidden="false" customHeight="false" outlineLevel="0" collapsed="false">
      <c r="A17" s="27" t="s">
        <v>93</v>
      </c>
      <c r="B17" s="28" t="n">
        <v>46205</v>
      </c>
      <c r="C17" s="27" t="s">
        <v>41</v>
      </c>
      <c r="D17" s="27" t="s">
        <v>29</v>
      </c>
      <c r="E17" s="27" t="s">
        <v>94</v>
      </c>
      <c r="F17" s="29" t="n">
        <v>317</v>
      </c>
      <c r="G17" s="29" t="n">
        <v>240</v>
      </c>
      <c r="H17" s="27" t="s">
        <v>56</v>
      </c>
      <c r="I17" s="27" t="s">
        <v>57</v>
      </c>
      <c r="J17" s="16" t="str">
        <f aca="false">IF(F17&gt;G17,"İhlal","Uygun")</f>
        <v>İhlal</v>
      </c>
      <c r="K17" s="29" t="n">
        <f aca="false">MAX(0,F17-G17)</f>
        <v>77</v>
      </c>
      <c r="L17" s="30" t="n">
        <f aca="false">IFERROR(F17/G17,0)</f>
        <v>1.32083333333333</v>
      </c>
      <c r="M17" s="16" t="n">
        <f aca="false">COUNTIF('Değişiklik İlişkisi'!$C$4:$C$29,C17)</f>
        <v>4</v>
      </c>
      <c r="N17" s="27" t="str">
        <f aca="false">IFERROR(VLOOKUP(H17,'Kök Neden Pivot'!$N$2:$O$8,2,FALSE()),H17)</f>
        <v>Kapasite</v>
      </c>
    </row>
    <row r="18" customFormat="false" ht="15" hidden="false" customHeight="false" outlineLevel="0" collapsed="false">
      <c r="A18" s="27" t="s">
        <v>95</v>
      </c>
      <c r="B18" s="28" t="n">
        <v>46202</v>
      </c>
      <c r="C18" s="27" t="s">
        <v>39</v>
      </c>
      <c r="D18" s="27" t="s">
        <v>30</v>
      </c>
      <c r="E18" s="27" t="s">
        <v>96</v>
      </c>
      <c r="F18" s="29" t="n">
        <v>610</v>
      </c>
      <c r="G18" s="29" t="n">
        <v>480</v>
      </c>
      <c r="H18" s="27" t="s">
        <v>74</v>
      </c>
      <c r="I18" s="27" t="s">
        <v>57</v>
      </c>
      <c r="J18" s="16" t="str">
        <f aca="false">IF(F18&gt;G18,"İhlal","Uygun")</f>
        <v>İhlal</v>
      </c>
      <c r="K18" s="29" t="n">
        <f aca="false">MAX(0,F18-G18)</f>
        <v>130</v>
      </c>
      <c r="L18" s="30" t="n">
        <f aca="false">IFERROR(F18/G18,0)</f>
        <v>1.27083333333333</v>
      </c>
      <c r="M18" s="16" t="n">
        <f aca="false">COUNTIF('Değişiklik İlişkisi'!$C$4:$C$29,C18)</f>
        <v>6</v>
      </c>
      <c r="N18" s="27" t="str">
        <f aca="false">IFERROR(VLOOKUP(H18,'Kök Neden Pivot'!$N$2:$O$8,2,FALSE()),H18)</f>
        <v>Kimlik/Sertifika</v>
      </c>
    </row>
    <row r="19" customFormat="false" ht="15" hidden="false" customHeight="false" outlineLevel="0" collapsed="false">
      <c r="A19" s="27" t="s">
        <v>97</v>
      </c>
      <c r="B19" s="28" t="n">
        <v>46202</v>
      </c>
      <c r="C19" s="27" t="s">
        <v>37</v>
      </c>
      <c r="D19" s="27" t="s">
        <v>28</v>
      </c>
      <c r="E19" s="27" t="s">
        <v>98</v>
      </c>
      <c r="F19" s="29" t="n">
        <v>98</v>
      </c>
      <c r="G19" s="29" t="n">
        <v>60</v>
      </c>
      <c r="H19" s="27" t="s">
        <v>56</v>
      </c>
      <c r="I19" s="27" t="s">
        <v>57</v>
      </c>
      <c r="J19" s="16" t="str">
        <f aca="false">IF(F19&gt;G19,"İhlal","Uygun")</f>
        <v>İhlal</v>
      </c>
      <c r="K19" s="29" t="n">
        <f aca="false">MAX(0,F19-G19)</f>
        <v>38</v>
      </c>
      <c r="L19" s="30" t="n">
        <f aca="false">IFERROR(F19/G19,0)</f>
        <v>1.63333333333333</v>
      </c>
      <c r="M19" s="16" t="n">
        <f aca="false">COUNTIF('Değişiklik İlişkisi'!$C$4:$C$29,C19)</f>
        <v>6</v>
      </c>
      <c r="N19" s="27" t="str">
        <f aca="false">IFERROR(VLOOKUP(H19,'Kök Neden Pivot'!$N$2:$O$8,2,FALSE()),H19)</f>
        <v>Kapasite</v>
      </c>
    </row>
    <row r="20" customFormat="false" ht="15" hidden="false" customHeight="false" outlineLevel="0" collapsed="false">
      <c r="A20" s="27" t="s">
        <v>99</v>
      </c>
      <c r="B20" s="28" t="n">
        <v>46206</v>
      </c>
      <c r="C20" s="27" t="s">
        <v>38</v>
      </c>
      <c r="D20" s="27" t="s">
        <v>29</v>
      </c>
      <c r="E20" s="27" t="s">
        <v>100</v>
      </c>
      <c r="F20" s="29" t="n">
        <v>124</v>
      </c>
      <c r="G20" s="29" t="n">
        <v>240</v>
      </c>
      <c r="H20" s="27" t="s">
        <v>74</v>
      </c>
      <c r="I20" s="27" t="s">
        <v>75</v>
      </c>
      <c r="J20" s="16" t="str">
        <f aca="false">IF(F20&gt;G20,"İhlal","Uygun")</f>
        <v>Uygun</v>
      </c>
      <c r="K20" s="29" t="n">
        <f aca="false">MAX(0,F20-G20)</f>
        <v>0</v>
      </c>
      <c r="L20" s="30" t="n">
        <f aca="false">IFERROR(F20/G20,0)</f>
        <v>0.516666666666667</v>
      </c>
      <c r="M20" s="16" t="n">
        <f aca="false">COUNTIF('Değişiklik İlişkisi'!$C$4:$C$29,C20)</f>
        <v>2</v>
      </c>
      <c r="N20" s="27" t="str">
        <f aca="false">IFERROR(VLOOKUP(H20,'Kök Neden Pivot'!$N$2:$O$8,2,FALSE()),H20)</f>
        <v>Kimlik/Sertifika</v>
      </c>
    </row>
    <row r="21" customFormat="false" ht="15" hidden="false" customHeight="false" outlineLevel="0" collapsed="false">
      <c r="A21" s="27" t="s">
        <v>101</v>
      </c>
      <c r="B21" s="28" t="n">
        <v>46202</v>
      </c>
      <c r="C21" s="27" t="s">
        <v>39</v>
      </c>
      <c r="D21" s="27" t="s">
        <v>30</v>
      </c>
      <c r="E21" s="27" t="s">
        <v>102</v>
      </c>
      <c r="F21" s="29" t="n">
        <v>695</v>
      </c>
      <c r="G21" s="29" t="n">
        <v>480</v>
      </c>
      <c r="H21" s="27" t="s">
        <v>66</v>
      </c>
      <c r="I21" s="27" t="s">
        <v>75</v>
      </c>
      <c r="J21" s="16" t="str">
        <f aca="false">IF(F21&gt;G21,"İhlal","Uygun")</f>
        <v>İhlal</v>
      </c>
      <c r="K21" s="29" t="n">
        <f aca="false">MAX(0,F21-G21)</f>
        <v>215</v>
      </c>
      <c r="L21" s="30" t="n">
        <f aca="false">IFERROR(F21/G21,0)</f>
        <v>1.44791666666667</v>
      </c>
      <c r="M21" s="16" t="n">
        <f aca="false">COUNTIF('Değişiklik İlişkisi'!$C$4:$C$29,C21)</f>
        <v>6</v>
      </c>
      <c r="N21" s="27" t="str">
        <f aca="false">IFERROR(VLOOKUP(H21,'Kök Neden Pivot'!$N$2:$O$8,2,FALSE()),H21)</f>
        <v>Sürüm/Dağıtım</v>
      </c>
    </row>
    <row r="22" customFormat="false" ht="15" hidden="false" customHeight="false" outlineLevel="0" collapsed="false">
      <c r="A22" s="27" t="s">
        <v>103</v>
      </c>
      <c r="B22" s="28" t="n">
        <v>46204</v>
      </c>
      <c r="C22" s="27" t="s">
        <v>39</v>
      </c>
      <c r="D22" s="27" t="s">
        <v>30</v>
      </c>
      <c r="E22" s="27" t="s">
        <v>104</v>
      </c>
      <c r="F22" s="29" t="n">
        <v>834</v>
      </c>
      <c r="G22" s="29" t="n">
        <v>480</v>
      </c>
      <c r="H22" s="27" t="s">
        <v>74</v>
      </c>
      <c r="I22" s="27" t="s">
        <v>57</v>
      </c>
      <c r="J22" s="16" t="str">
        <f aca="false">IF(F22&gt;G22,"İhlal","Uygun")</f>
        <v>İhlal</v>
      </c>
      <c r="K22" s="29" t="n">
        <f aca="false">MAX(0,F22-G22)</f>
        <v>354</v>
      </c>
      <c r="L22" s="30" t="n">
        <f aca="false">IFERROR(F22/G22,0)</f>
        <v>1.7375</v>
      </c>
      <c r="M22" s="16" t="n">
        <f aca="false">COUNTIF('Değişiklik İlişkisi'!$C$4:$C$29,C22)</f>
        <v>6</v>
      </c>
      <c r="N22" s="27" t="str">
        <f aca="false">IFERROR(VLOOKUP(H22,'Kök Neden Pivot'!$N$2:$O$8,2,FALSE()),H22)</f>
        <v>Kimlik/Sertifika</v>
      </c>
    </row>
    <row r="23" customFormat="false" ht="15" hidden="false" customHeight="false" outlineLevel="0" collapsed="false">
      <c r="A23" s="27" t="s">
        <v>105</v>
      </c>
      <c r="B23" s="28" t="n">
        <v>46206</v>
      </c>
      <c r="C23" s="27" t="s">
        <v>39</v>
      </c>
      <c r="D23" s="27" t="s">
        <v>31</v>
      </c>
      <c r="E23" s="27" t="s">
        <v>106</v>
      </c>
      <c r="F23" s="29" t="n">
        <v>609</v>
      </c>
      <c r="G23" s="29" t="n">
        <v>1440</v>
      </c>
      <c r="H23" s="27" t="s">
        <v>56</v>
      </c>
      <c r="I23" s="27" t="s">
        <v>57</v>
      </c>
      <c r="J23" s="16" t="str">
        <f aca="false">IF(F23&gt;G23,"İhlal","Uygun")</f>
        <v>Uygun</v>
      </c>
      <c r="K23" s="29" t="n">
        <f aca="false">MAX(0,F23-G23)</f>
        <v>0</v>
      </c>
      <c r="L23" s="30" t="n">
        <f aca="false">IFERROR(F23/G23,0)</f>
        <v>0.422916666666667</v>
      </c>
      <c r="M23" s="16" t="n">
        <f aca="false">COUNTIF('Değişiklik İlişkisi'!$C$4:$C$29,C23)</f>
        <v>6</v>
      </c>
      <c r="N23" s="27" t="str">
        <f aca="false">IFERROR(VLOOKUP(H23,'Kök Neden Pivot'!$N$2:$O$8,2,FALSE()),H23)</f>
        <v>Kapasite</v>
      </c>
    </row>
    <row r="24" customFormat="false" ht="15" hidden="false" customHeight="false" outlineLevel="0" collapsed="false">
      <c r="A24" s="27" t="s">
        <v>107</v>
      </c>
      <c r="B24" s="28" t="n">
        <v>46206</v>
      </c>
      <c r="C24" s="27" t="s">
        <v>40</v>
      </c>
      <c r="D24" s="27" t="s">
        <v>30</v>
      </c>
      <c r="E24" s="27" t="s">
        <v>108</v>
      </c>
      <c r="F24" s="29" t="n">
        <v>841</v>
      </c>
      <c r="G24" s="29" t="n">
        <v>480</v>
      </c>
      <c r="H24" s="27" t="s">
        <v>80</v>
      </c>
      <c r="I24" s="27" t="s">
        <v>57</v>
      </c>
      <c r="J24" s="16" t="str">
        <f aca="false">IF(F24&gt;G24,"İhlal","Uygun")</f>
        <v>İhlal</v>
      </c>
      <c r="K24" s="29" t="n">
        <f aca="false">MAX(0,F24-G24)</f>
        <v>361</v>
      </c>
      <c r="L24" s="30" t="n">
        <f aca="false">IFERROR(F24/G24,0)</f>
        <v>1.75208333333333</v>
      </c>
      <c r="M24" s="16" t="n">
        <f aca="false">COUNTIF('Değişiklik İlişkisi'!$C$4:$C$29,C24)</f>
        <v>6</v>
      </c>
      <c r="N24" s="27" t="str">
        <f aca="false">IFERROR(VLOOKUP(H24,'Kök Neden Pivot'!$N$2:$O$8,2,FALSE()),H24)</f>
        <v>Üçüncü Taraf</v>
      </c>
    </row>
    <row r="25" customFormat="false" ht="15" hidden="false" customHeight="false" outlineLevel="0" collapsed="false">
      <c r="A25" s="27" t="s">
        <v>109</v>
      </c>
      <c r="B25" s="28" t="n">
        <v>46208</v>
      </c>
      <c r="C25" s="27" t="s">
        <v>39</v>
      </c>
      <c r="D25" s="27" t="s">
        <v>31</v>
      </c>
      <c r="E25" s="27" t="s">
        <v>110</v>
      </c>
      <c r="F25" s="29" t="n">
        <v>945</v>
      </c>
      <c r="G25" s="29" t="n">
        <v>1440</v>
      </c>
      <c r="H25" s="27" t="s">
        <v>63</v>
      </c>
      <c r="I25" s="27" t="s">
        <v>57</v>
      </c>
      <c r="J25" s="16" t="str">
        <f aca="false">IF(F25&gt;G25,"İhlal","Uygun")</f>
        <v>Uygun</v>
      </c>
      <c r="K25" s="29" t="n">
        <f aca="false">MAX(0,F25-G25)</f>
        <v>0</v>
      </c>
      <c r="L25" s="30" t="n">
        <f aca="false">IFERROR(F25/G25,0)</f>
        <v>0.65625</v>
      </c>
      <c r="M25" s="16" t="n">
        <f aca="false">COUNTIF('Değişiklik İlişkisi'!$C$4:$C$29,C25)</f>
        <v>6</v>
      </c>
      <c r="N25" s="27" t="str">
        <f aca="false">IFERROR(VLOOKUP(H25,'Kök Neden Pivot'!$N$2:$O$8,2,FALSE()),H25)</f>
        <v>Altyapı/Ağ</v>
      </c>
    </row>
    <row r="26" customFormat="false" ht="15" hidden="false" customHeight="false" outlineLevel="0" collapsed="false">
      <c r="A26" s="27" t="s">
        <v>111</v>
      </c>
      <c r="B26" s="28" t="n">
        <v>46202</v>
      </c>
      <c r="C26" s="27" t="s">
        <v>37</v>
      </c>
      <c r="D26" s="27" t="s">
        <v>31</v>
      </c>
      <c r="E26" s="27" t="s">
        <v>112</v>
      </c>
      <c r="F26" s="29" t="n">
        <v>1580</v>
      </c>
      <c r="G26" s="29" t="n">
        <v>1440</v>
      </c>
      <c r="H26" s="27" t="s">
        <v>56</v>
      </c>
      <c r="I26" s="27" t="s">
        <v>57</v>
      </c>
      <c r="J26" s="16" t="str">
        <f aca="false">IF(F26&gt;G26,"İhlal","Uygun")</f>
        <v>İhlal</v>
      </c>
      <c r="K26" s="29" t="n">
        <f aca="false">MAX(0,F26-G26)</f>
        <v>140</v>
      </c>
      <c r="L26" s="30" t="n">
        <f aca="false">IFERROR(F26/G26,0)</f>
        <v>1.09722222222222</v>
      </c>
      <c r="M26" s="16" t="n">
        <f aca="false">COUNTIF('Değişiklik İlişkisi'!$C$4:$C$29,C26)</f>
        <v>6</v>
      </c>
      <c r="N26" s="27" t="str">
        <f aca="false">IFERROR(VLOOKUP(H26,'Kök Neden Pivot'!$N$2:$O$8,2,FALSE()),H26)</f>
        <v>Kapasite</v>
      </c>
    </row>
    <row r="27" customFormat="false" ht="15" hidden="false" customHeight="false" outlineLevel="0" collapsed="false">
      <c r="A27" s="27" t="s">
        <v>113</v>
      </c>
      <c r="B27" s="28" t="n">
        <v>46204</v>
      </c>
      <c r="C27" s="27" t="s">
        <v>37</v>
      </c>
      <c r="D27" s="27" t="s">
        <v>29</v>
      </c>
      <c r="E27" s="27" t="s">
        <v>114</v>
      </c>
      <c r="F27" s="29" t="n">
        <v>364</v>
      </c>
      <c r="G27" s="29" t="n">
        <v>240</v>
      </c>
      <c r="H27" s="27" t="s">
        <v>60</v>
      </c>
      <c r="I27" s="27" t="s">
        <v>57</v>
      </c>
      <c r="J27" s="16" t="str">
        <f aca="false">IF(F27&gt;G27,"İhlal","Uygun")</f>
        <v>İhlal</v>
      </c>
      <c r="K27" s="29" t="n">
        <f aca="false">MAX(0,F27-G27)</f>
        <v>124</v>
      </c>
      <c r="L27" s="30" t="n">
        <f aca="false">IFERROR(F27/G27,0)</f>
        <v>1.51666666666667</v>
      </c>
      <c r="M27" s="16" t="n">
        <f aca="false">COUNTIF('Değişiklik İlişkisi'!$C$4:$C$29,C27)</f>
        <v>6</v>
      </c>
      <c r="N27" s="27" t="str">
        <f aca="false">IFERROR(VLOOKUP(H27,'Kök Neden Pivot'!$N$2:$O$8,2,FALSE()),H27)</f>
        <v>Veritabanı</v>
      </c>
    </row>
    <row r="28" customFormat="false" ht="15" hidden="false" customHeight="false" outlineLevel="0" collapsed="false">
      <c r="A28" s="27" t="s">
        <v>115</v>
      </c>
      <c r="B28" s="28" t="n">
        <v>46205</v>
      </c>
      <c r="C28" s="27" t="s">
        <v>37</v>
      </c>
      <c r="D28" s="27" t="s">
        <v>30</v>
      </c>
      <c r="E28" s="27" t="s">
        <v>116</v>
      </c>
      <c r="F28" s="29" t="n">
        <v>220</v>
      </c>
      <c r="G28" s="29" t="n">
        <v>480</v>
      </c>
      <c r="H28" s="27" t="s">
        <v>80</v>
      </c>
      <c r="I28" s="27" t="s">
        <v>57</v>
      </c>
      <c r="J28" s="16" t="str">
        <f aca="false">IF(F28&gt;G28,"İhlal","Uygun")</f>
        <v>Uygun</v>
      </c>
      <c r="K28" s="29" t="n">
        <f aca="false">MAX(0,F28-G28)</f>
        <v>0</v>
      </c>
      <c r="L28" s="30" t="n">
        <f aca="false">IFERROR(F28/G28,0)</f>
        <v>0.458333333333333</v>
      </c>
      <c r="M28" s="16" t="n">
        <f aca="false">COUNTIF('Değişiklik İlişkisi'!$C$4:$C$29,C28)</f>
        <v>6</v>
      </c>
      <c r="N28" s="27" t="str">
        <f aca="false">IFERROR(VLOOKUP(H28,'Kök Neden Pivot'!$N$2:$O$8,2,FALSE()),H28)</f>
        <v>Üçüncü Taraf</v>
      </c>
    </row>
    <row r="29" customFormat="false" ht="15" hidden="false" customHeight="false" outlineLevel="0" collapsed="false">
      <c r="A29" s="27" t="s">
        <v>117</v>
      </c>
      <c r="B29" s="28" t="n">
        <v>46202</v>
      </c>
      <c r="C29" s="27" t="s">
        <v>40</v>
      </c>
      <c r="D29" s="27" t="s">
        <v>31</v>
      </c>
      <c r="E29" s="27" t="s">
        <v>118</v>
      </c>
      <c r="F29" s="29" t="n">
        <v>1316</v>
      </c>
      <c r="G29" s="29" t="n">
        <v>1440</v>
      </c>
      <c r="H29" s="27" t="s">
        <v>69</v>
      </c>
      <c r="I29" s="27" t="s">
        <v>57</v>
      </c>
      <c r="J29" s="16" t="str">
        <f aca="false">IF(F29&gt;G29,"İhlal","Uygun")</f>
        <v>Uygun</v>
      </c>
      <c r="K29" s="29" t="n">
        <f aca="false">MAX(0,F29-G29)</f>
        <v>0</v>
      </c>
      <c r="L29" s="30" t="n">
        <f aca="false">IFERROR(F29/G29,0)</f>
        <v>0.913888888888889</v>
      </c>
      <c r="M29" s="16" t="n">
        <f aca="false">COUNTIF('Değişiklik İlişkisi'!$C$4:$C$29,C29)</f>
        <v>6</v>
      </c>
      <c r="N29" s="27" t="str">
        <f aca="false">IFERROR(VLOOKUP(H29,'Kök Neden Pivot'!$N$2:$O$8,2,FALSE()),H29)</f>
        <v>Konfigürasyon</v>
      </c>
    </row>
    <row r="30" customFormat="false" ht="15" hidden="false" customHeight="false" outlineLevel="0" collapsed="false">
      <c r="A30" s="27" t="s">
        <v>119</v>
      </c>
      <c r="B30" s="28" t="n">
        <v>46203</v>
      </c>
      <c r="C30" s="27" t="s">
        <v>39</v>
      </c>
      <c r="D30" s="27" t="s">
        <v>29</v>
      </c>
      <c r="E30" s="27" t="s">
        <v>120</v>
      </c>
      <c r="F30" s="29" t="n">
        <v>280</v>
      </c>
      <c r="G30" s="29" t="n">
        <v>240</v>
      </c>
      <c r="H30" s="27" t="s">
        <v>63</v>
      </c>
      <c r="I30" s="27" t="s">
        <v>57</v>
      </c>
      <c r="J30" s="16" t="str">
        <f aca="false">IF(F30&gt;G30,"İhlal","Uygun")</f>
        <v>İhlal</v>
      </c>
      <c r="K30" s="29" t="n">
        <f aca="false">MAX(0,F30-G30)</f>
        <v>40</v>
      </c>
      <c r="L30" s="30" t="n">
        <f aca="false">IFERROR(F30/G30,0)</f>
        <v>1.16666666666667</v>
      </c>
      <c r="M30" s="16" t="n">
        <f aca="false">COUNTIF('Değişiklik İlişkisi'!$C$4:$C$29,C30)</f>
        <v>6</v>
      </c>
      <c r="N30" s="27" t="str">
        <f aca="false">IFERROR(VLOOKUP(H30,'Kök Neden Pivot'!$N$2:$O$8,2,FALSE()),H30)</f>
        <v>Altyapı/Ağ</v>
      </c>
    </row>
    <row r="31" customFormat="false" ht="15" hidden="false" customHeight="false" outlineLevel="0" collapsed="false">
      <c r="A31" s="27" t="s">
        <v>121</v>
      </c>
      <c r="B31" s="28" t="n">
        <v>46205</v>
      </c>
      <c r="C31" s="27" t="s">
        <v>39</v>
      </c>
      <c r="D31" s="27" t="s">
        <v>28</v>
      </c>
      <c r="E31" s="27" t="s">
        <v>122</v>
      </c>
      <c r="F31" s="29" t="n">
        <v>89</v>
      </c>
      <c r="G31" s="29" t="n">
        <v>60</v>
      </c>
      <c r="H31" s="27" t="s">
        <v>63</v>
      </c>
      <c r="I31" s="27" t="s">
        <v>57</v>
      </c>
      <c r="J31" s="16" t="str">
        <f aca="false">IF(F31&gt;G31,"İhlal","Uygun")</f>
        <v>İhlal</v>
      </c>
      <c r="K31" s="29" t="n">
        <f aca="false">MAX(0,F31-G31)</f>
        <v>29</v>
      </c>
      <c r="L31" s="30" t="n">
        <f aca="false">IFERROR(F31/G31,0)</f>
        <v>1.48333333333333</v>
      </c>
      <c r="M31" s="16" t="n">
        <f aca="false">COUNTIF('Değişiklik İlişkisi'!$C$4:$C$29,C31)</f>
        <v>6</v>
      </c>
      <c r="N31" s="27" t="str">
        <f aca="false">IFERROR(VLOOKUP(H31,'Kök Neden Pivot'!$N$2:$O$8,2,FALSE()),H31)</f>
        <v>Altyapı/Ağ</v>
      </c>
    </row>
    <row r="32" customFormat="false" ht="15" hidden="false" customHeight="false" outlineLevel="0" collapsed="false">
      <c r="A32" s="27" t="s">
        <v>123</v>
      </c>
      <c r="B32" s="28" t="n">
        <v>46202</v>
      </c>
      <c r="C32" s="27" t="s">
        <v>41</v>
      </c>
      <c r="D32" s="27" t="s">
        <v>29</v>
      </c>
      <c r="E32" s="27" t="s">
        <v>124</v>
      </c>
      <c r="F32" s="29" t="n">
        <v>190</v>
      </c>
      <c r="G32" s="29" t="n">
        <v>240</v>
      </c>
      <c r="H32" s="27" t="s">
        <v>69</v>
      </c>
      <c r="I32" s="27" t="s">
        <v>57</v>
      </c>
      <c r="J32" s="16" t="str">
        <f aca="false">IF(F32&gt;G32,"İhlal","Uygun")</f>
        <v>Uygun</v>
      </c>
      <c r="K32" s="29" t="n">
        <f aca="false">MAX(0,F32-G32)</f>
        <v>0</v>
      </c>
      <c r="L32" s="30" t="n">
        <f aca="false">IFERROR(F32/G32,0)</f>
        <v>0.791666666666667</v>
      </c>
      <c r="M32" s="16" t="n">
        <f aca="false">COUNTIF('Değişiklik İlişkisi'!$C$4:$C$29,C32)</f>
        <v>4</v>
      </c>
      <c r="N32" s="27" t="str">
        <f aca="false">IFERROR(VLOOKUP(H32,'Kök Neden Pivot'!$N$2:$O$8,2,FALSE()),H32)</f>
        <v>Konfigürasyon</v>
      </c>
    </row>
    <row r="33" customFormat="false" ht="15" hidden="false" customHeight="false" outlineLevel="0" collapsed="false">
      <c r="A33" s="27" t="s">
        <v>125</v>
      </c>
      <c r="B33" s="28" t="n">
        <v>46202</v>
      </c>
      <c r="C33" s="27" t="s">
        <v>39</v>
      </c>
      <c r="D33" s="27" t="s">
        <v>30</v>
      </c>
      <c r="E33" s="27" t="s">
        <v>71</v>
      </c>
      <c r="F33" s="29" t="n">
        <v>451</v>
      </c>
      <c r="G33" s="29" t="n">
        <v>480</v>
      </c>
      <c r="H33" s="27" t="s">
        <v>56</v>
      </c>
      <c r="I33" s="27" t="s">
        <v>75</v>
      </c>
      <c r="J33" s="16" t="str">
        <f aca="false">IF(F33&gt;G33,"İhlal","Uygun")</f>
        <v>Uygun</v>
      </c>
      <c r="K33" s="29" t="n">
        <f aca="false">MAX(0,F33-G33)</f>
        <v>0</v>
      </c>
      <c r="L33" s="30" t="n">
        <f aca="false">IFERROR(F33/G33,0)</f>
        <v>0.939583333333333</v>
      </c>
      <c r="M33" s="16" t="n">
        <f aca="false">COUNTIF('Değişiklik İlişkisi'!$C$4:$C$29,C33)</f>
        <v>6</v>
      </c>
      <c r="N33" s="27" t="str">
        <f aca="false">IFERROR(VLOOKUP(H33,'Kök Neden Pivot'!$N$2:$O$8,2,FALSE()),H33)</f>
        <v>Kapasite</v>
      </c>
    </row>
    <row r="34" customFormat="false" ht="15" hidden="false" customHeight="false" outlineLevel="0" collapsed="false">
      <c r="A34" s="27" t="s">
        <v>126</v>
      </c>
      <c r="B34" s="28" t="n">
        <v>46205</v>
      </c>
      <c r="C34" s="27" t="s">
        <v>39</v>
      </c>
      <c r="D34" s="27" t="s">
        <v>28</v>
      </c>
      <c r="E34" s="27" t="s">
        <v>127</v>
      </c>
      <c r="F34" s="29" t="n">
        <v>93</v>
      </c>
      <c r="G34" s="29" t="n">
        <v>60</v>
      </c>
      <c r="H34" s="27" t="s">
        <v>74</v>
      </c>
      <c r="I34" s="27" t="s">
        <v>57</v>
      </c>
      <c r="J34" s="16" t="str">
        <f aca="false">IF(F34&gt;G34,"İhlal","Uygun")</f>
        <v>İhlal</v>
      </c>
      <c r="K34" s="29" t="n">
        <f aca="false">MAX(0,F34-G34)</f>
        <v>33</v>
      </c>
      <c r="L34" s="30" t="n">
        <f aca="false">IFERROR(F34/G34,0)</f>
        <v>1.55</v>
      </c>
      <c r="M34" s="16" t="n">
        <f aca="false">COUNTIF('Değişiklik İlişkisi'!$C$4:$C$29,C34)</f>
        <v>6</v>
      </c>
      <c r="N34" s="27" t="str">
        <f aca="false">IFERROR(VLOOKUP(H34,'Kök Neden Pivot'!$N$2:$O$8,2,FALSE()),H34)</f>
        <v>Kimlik/Sertifika</v>
      </c>
    </row>
    <row r="35" customFormat="false" ht="15" hidden="false" customHeight="false" outlineLevel="0" collapsed="false">
      <c r="A35" s="27" t="s">
        <v>128</v>
      </c>
      <c r="B35" s="28" t="n">
        <v>46203</v>
      </c>
      <c r="C35" s="27" t="s">
        <v>40</v>
      </c>
      <c r="D35" s="27" t="s">
        <v>30</v>
      </c>
      <c r="E35" s="27" t="s">
        <v>129</v>
      </c>
      <c r="F35" s="29" t="n">
        <v>479</v>
      </c>
      <c r="G35" s="29" t="n">
        <v>480</v>
      </c>
      <c r="H35" s="27" t="s">
        <v>56</v>
      </c>
      <c r="I35" s="27" t="s">
        <v>57</v>
      </c>
      <c r="J35" s="16" t="str">
        <f aca="false">IF(F35&gt;G35,"İhlal","Uygun")</f>
        <v>Uygun</v>
      </c>
      <c r="K35" s="29" t="n">
        <f aca="false">MAX(0,F35-G35)</f>
        <v>0</v>
      </c>
      <c r="L35" s="30" t="n">
        <f aca="false">IFERROR(F35/G35,0)</f>
        <v>0.997916666666667</v>
      </c>
      <c r="M35" s="16" t="n">
        <f aca="false">COUNTIF('Değişiklik İlişkisi'!$C$4:$C$29,C35)</f>
        <v>6</v>
      </c>
      <c r="N35" s="27" t="str">
        <f aca="false">IFERROR(VLOOKUP(H35,'Kök Neden Pivot'!$N$2:$O$8,2,FALSE()),H35)</f>
        <v>Kapasite</v>
      </c>
    </row>
    <row r="36" customFormat="false" ht="15" hidden="false" customHeight="false" outlineLevel="0" collapsed="false">
      <c r="A36" s="27" t="s">
        <v>130</v>
      </c>
      <c r="B36" s="28" t="n">
        <v>46206</v>
      </c>
      <c r="C36" s="27" t="s">
        <v>38</v>
      </c>
      <c r="D36" s="27" t="s">
        <v>29</v>
      </c>
      <c r="E36" s="27" t="s">
        <v>131</v>
      </c>
      <c r="F36" s="29" t="n">
        <v>388</v>
      </c>
      <c r="G36" s="29" t="n">
        <v>240</v>
      </c>
      <c r="H36" s="27" t="s">
        <v>60</v>
      </c>
      <c r="I36" s="27" t="s">
        <v>57</v>
      </c>
      <c r="J36" s="16" t="str">
        <f aca="false">IF(F36&gt;G36,"İhlal","Uygun")</f>
        <v>İhlal</v>
      </c>
      <c r="K36" s="29" t="n">
        <f aca="false">MAX(0,F36-G36)</f>
        <v>148</v>
      </c>
      <c r="L36" s="30" t="n">
        <f aca="false">IFERROR(F36/G36,0)</f>
        <v>1.61666666666667</v>
      </c>
      <c r="M36" s="16" t="n">
        <f aca="false">COUNTIF('Değişiklik İlişkisi'!$C$4:$C$29,C36)</f>
        <v>2</v>
      </c>
      <c r="N36" s="27" t="str">
        <f aca="false">IFERROR(VLOOKUP(H36,'Kök Neden Pivot'!$N$2:$O$8,2,FALSE()),H36)</f>
        <v>Veritabanı</v>
      </c>
    </row>
    <row r="37" customFormat="false" ht="15" hidden="false" customHeight="false" outlineLevel="0" collapsed="false">
      <c r="A37" s="27" t="s">
        <v>132</v>
      </c>
      <c r="B37" s="28" t="n">
        <v>46203</v>
      </c>
      <c r="C37" s="27" t="s">
        <v>42</v>
      </c>
      <c r="D37" s="27" t="s">
        <v>28</v>
      </c>
      <c r="E37" s="27" t="s">
        <v>133</v>
      </c>
      <c r="F37" s="29" t="n">
        <v>108</v>
      </c>
      <c r="G37" s="29" t="n">
        <v>60</v>
      </c>
      <c r="H37" s="27" t="s">
        <v>69</v>
      </c>
      <c r="I37" s="27" t="s">
        <v>57</v>
      </c>
      <c r="J37" s="16" t="str">
        <f aca="false">IF(F37&gt;G37,"İhlal","Uygun")</f>
        <v>İhlal</v>
      </c>
      <c r="K37" s="29" t="n">
        <f aca="false">MAX(0,F37-G37)</f>
        <v>48</v>
      </c>
      <c r="L37" s="30" t="n">
        <f aca="false">IFERROR(F37/G37,0)</f>
        <v>1.8</v>
      </c>
      <c r="M37" s="16" t="n">
        <f aca="false">COUNTIF('Değişiklik İlişkisi'!$C$4:$C$29,C37)</f>
        <v>1</v>
      </c>
      <c r="N37" s="27" t="str">
        <f aca="false">IFERROR(VLOOKUP(H37,'Kök Neden Pivot'!$N$2:$O$8,2,FALSE()),H37)</f>
        <v>Konfigürasyon</v>
      </c>
    </row>
    <row r="38" customFormat="false" ht="15" hidden="false" customHeight="false" outlineLevel="0" collapsed="false">
      <c r="A38" s="27" t="s">
        <v>134</v>
      </c>
      <c r="B38" s="28" t="n">
        <v>46207</v>
      </c>
      <c r="C38" s="27" t="s">
        <v>37</v>
      </c>
      <c r="D38" s="27" t="s">
        <v>28</v>
      </c>
      <c r="E38" s="27" t="s">
        <v>135</v>
      </c>
      <c r="F38" s="29" t="n">
        <v>103</v>
      </c>
      <c r="G38" s="29" t="n">
        <v>60</v>
      </c>
      <c r="H38" s="27" t="s">
        <v>63</v>
      </c>
      <c r="I38" s="27" t="s">
        <v>57</v>
      </c>
      <c r="J38" s="16" t="str">
        <f aca="false">IF(F38&gt;G38,"İhlal","Uygun")</f>
        <v>İhlal</v>
      </c>
      <c r="K38" s="29" t="n">
        <f aca="false">MAX(0,F38-G38)</f>
        <v>43</v>
      </c>
      <c r="L38" s="30" t="n">
        <f aca="false">IFERROR(F38/G38,0)</f>
        <v>1.71666666666667</v>
      </c>
      <c r="M38" s="16" t="n">
        <f aca="false">COUNTIF('Değişiklik İlişkisi'!$C$4:$C$29,C38)</f>
        <v>6</v>
      </c>
      <c r="N38" s="27" t="str">
        <f aca="false">IFERROR(VLOOKUP(H38,'Kök Neden Pivot'!$N$2:$O$8,2,FALSE()),H38)</f>
        <v>Altyapı/Ağ</v>
      </c>
    </row>
    <row r="39" customFormat="false" ht="15" hidden="false" customHeight="false" outlineLevel="0" collapsed="false">
      <c r="A39" s="27" t="s">
        <v>136</v>
      </c>
      <c r="B39" s="28" t="n">
        <v>46204</v>
      </c>
      <c r="C39" s="27" t="s">
        <v>38</v>
      </c>
      <c r="D39" s="27" t="s">
        <v>29</v>
      </c>
      <c r="E39" s="27" t="s">
        <v>137</v>
      </c>
      <c r="F39" s="29" t="n">
        <v>429</v>
      </c>
      <c r="G39" s="29" t="n">
        <v>240</v>
      </c>
      <c r="H39" s="27" t="s">
        <v>66</v>
      </c>
      <c r="I39" s="27" t="s">
        <v>57</v>
      </c>
      <c r="J39" s="16" t="str">
        <f aca="false">IF(F39&gt;G39,"İhlal","Uygun")</f>
        <v>İhlal</v>
      </c>
      <c r="K39" s="29" t="n">
        <f aca="false">MAX(0,F39-G39)</f>
        <v>189</v>
      </c>
      <c r="L39" s="30" t="n">
        <f aca="false">IFERROR(F39/G39,0)</f>
        <v>1.7875</v>
      </c>
      <c r="M39" s="16" t="n">
        <f aca="false">COUNTIF('Değişiklik İlişkisi'!$C$4:$C$29,C39)</f>
        <v>2</v>
      </c>
      <c r="N39" s="27" t="str">
        <f aca="false">IFERROR(VLOOKUP(H39,'Kök Neden Pivot'!$N$2:$O$8,2,FALSE()),H39)</f>
        <v>Sürüm/Dağıtım</v>
      </c>
    </row>
    <row r="40" customFormat="false" ht="15" hidden="false" customHeight="false" outlineLevel="0" collapsed="false">
      <c r="A40" s="27" t="s">
        <v>138</v>
      </c>
      <c r="B40" s="28" t="n">
        <v>46202</v>
      </c>
      <c r="C40" s="27" t="s">
        <v>37</v>
      </c>
      <c r="D40" s="27" t="s">
        <v>30</v>
      </c>
      <c r="E40" s="27" t="s">
        <v>139</v>
      </c>
      <c r="F40" s="29" t="n">
        <v>321</v>
      </c>
      <c r="G40" s="29" t="n">
        <v>480</v>
      </c>
      <c r="H40" s="27" t="s">
        <v>60</v>
      </c>
      <c r="I40" s="27" t="s">
        <v>57</v>
      </c>
      <c r="J40" s="16" t="str">
        <f aca="false">IF(F40&gt;G40,"İhlal","Uygun")</f>
        <v>Uygun</v>
      </c>
      <c r="K40" s="29" t="n">
        <f aca="false">MAX(0,F40-G40)</f>
        <v>0</v>
      </c>
      <c r="L40" s="30" t="n">
        <f aca="false">IFERROR(F40/G40,0)</f>
        <v>0.66875</v>
      </c>
      <c r="M40" s="16" t="n">
        <f aca="false">COUNTIF('Değişiklik İlişkisi'!$C$4:$C$29,C40)</f>
        <v>6</v>
      </c>
      <c r="N40" s="27" t="str">
        <f aca="false">IFERROR(VLOOKUP(H40,'Kök Neden Pivot'!$N$2:$O$8,2,FALSE()),H40)</f>
        <v>Veritabanı</v>
      </c>
    </row>
    <row r="41" customFormat="false" ht="15" hidden="false" customHeight="false" outlineLevel="0" collapsed="false">
      <c r="A41" s="27" t="s">
        <v>140</v>
      </c>
      <c r="B41" s="28" t="n">
        <v>46208</v>
      </c>
      <c r="C41" s="27" t="s">
        <v>40</v>
      </c>
      <c r="D41" s="27" t="s">
        <v>31</v>
      </c>
      <c r="E41" s="27" t="s">
        <v>141</v>
      </c>
      <c r="F41" s="29" t="n">
        <v>1967</v>
      </c>
      <c r="G41" s="29" t="n">
        <v>1440</v>
      </c>
      <c r="H41" s="27" t="s">
        <v>60</v>
      </c>
      <c r="I41" s="27" t="s">
        <v>57</v>
      </c>
      <c r="J41" s="16" t="str">
        <f aca="false">IF(F41&gt;G41,"İhlal","Uygun")</f>
        <v>İhlal</v>
      </c>
      <c r="K41" s="29" t="n">
        <f aca="false">MAX(0,F41-G41)</f>
        <v>527</v>
      </c>
      <c r="L41" s="30" t="n">
        <f aca="false">IFERROR(F41/G41,0)</f>
        <v>1.36597222222222</v>
      </c>
      <c r="M41" s="16" t="n">
        <f aca="false">COUNTIF('Değişiklik İlişkisi'!$C$4:$C$29,C41)</f>
        <v>6</v>
      </c>
      <c r="N41" s="27" t="str">
        <f aca="false">IFERROR(VLOOKUP(H41,'Kök Neden Pivot'!$N$2:$O$8,2,FALSE()),H41)</f>
        <v>Veritabanı</v>
      </c>
    </row>
    <row r="42" customFormat="false" ht="15" hidden="false" customHeight="false" outlineLevel="0" collapsed="false">
      <c r="A42" s="27" t="s">
        <v>142</v>
      </c>
      <c r="B42" s="28" t="n">
        <v>46205</v>
      </c>
      <c r="C42" s="27" t="s">
        <v>41</v>
      </c>
      <c r="D42" s="27" t="s">
        <v>30</v>
      </c>
      <c r="E42" s="27" t="s">
        <v>143</v>
      </c>
      <c r="F42" s="29" t="n">
        <v>557</v>
      </c>
      <c r="G42" s="29" t="n">
        <v>480</v>
      </c>
      <c r="H42" s="27" t="s">
        <v>66</v>
      </c>
      <c r="I42" s="27" t="s">
        <v>75</v>
      </c>
      <c r="J42" s="16" t="str">
        <f aca="false">IF(F42&gt;G42,"İhlal","Uygun")</f>
        <v>İhlal</v>
      </c>
      <c r="K42" s="29" t="n">
        <f aca="false">MAX(0,F42-G42)</f>
        <v>77</v>
      </c>
      <c r="L42" s="30" t="n">
        <f aca="false">IFERROR(F42/G42,0)</f>
        <v>1.16041666666667</v>
      </c>
      <c r="M42" s="16" t="n">
        <f aca="false">COUNTIF('Değişiklik İlişkisi'!$C$4:$C$29,C42)</f>
        <v>4</v>
      </c>
      <c r="N42" s="27" t="str">
        <f aca="false">IFERROR(VLOOKUP(H42,'Kök Neden Pivot'!$N$2:$O$8,2,FALSE()),H42)</f>
        <v>Sürüm/Dağıtım</v>
      </c>
    </row>
    <row r="43" customFormat="false" ht="15" hidden="false" customHeight="false" outlineLevel="0" collapsed="false">
      <c r="A43" s="27" t="s">
        <v>144</v>
      </c>
      <c r="B43" s="28" t="n">
        <v>46207</v>
      </c>
      <c r="C43" s="27" t="s">
        <v>37</v>
      </c>
      <c r="D43" s="27" t="s">
        <v>28</v>
      </c>
      <c r="E43" s="27" t="s">
        <v>145</v>
      </c>
      <c r="F43" s="29" t="n">
        <v>109</v>
      </c>
      <c r="G43" s="29" t="n">
        <v>60</v>
      </c>
      <c r="H43" s="27" t="s">
        <v>80</v>
      </c>
      <c r="I43" s="27" t="s">
        <v>57</v>
      </c>
      <c r="J43" s="16" t="str">
        <f aca="false">IF(F43&gt;G43,"İhlal","Uygun")</f>
        <v>İhlal</v>
      </c>
      <c r="K43" s="29" t="n">
        <f aca="false">MAX(0,F43-G43)</f>
        <v>49</v>
      </c>
      <c r="L43" s="30" t="n">
        <f aca="false">IFERROR(F43/G43,0)</f>
        <v>1.81666666666667</v>
      </c>
      <c r="M43" s="16" t="n">
        <f aca="false">COUNTIF('Değişiklik İlişkisi'!$C$4:$C$29,C43)</f>
        <v>6</v>
      </c>
      <c r="N43" s="27" t="str">
        <f aca="false">IFERROR(VLOOKUP(H43,'Kök Neden Pivot'!$N$2:$O$8,2,FALSE()),H43)</f>
        <v>Üçüncü Taraf</v>
      </c>
    </row>
    <row r="44" customFormat="false" ht="15" hidden="false" customHeight="false" outlineLevel="0" collapsed="false">
      <c r="A44" s="27" t="s">
        <v>146</v>
      </c>
      <c r="B44" s="28" t="n">
        <v>46204</v>
      </c>
      <c r="C44" s="27" t="s">
        <v>41</v>
      </c>
      <c r="D44" s="27" t="s">
        <v>28</v>
      </c>
      <c r="E44" s="27" t="s">
        <v>147</v>
      </c>
      <c r="F44" s="29" t="n">
        <v>100</v>
      </c>
      <c r="G44" s="29" t="n">
        <v>60</v>
      </c>
      <c r="H44" s="27" t="s">
        <v>60</v>
      </c>
      <c r="I44" s="27" t="s">
        <v>57</v>
      </c>
      <c r="J44" s="16" t="str">
        <f aca="false">IF(F44&gt;G44,"İhlal","Uygun")</f>
        <v>İhlal</v>
      </c>
      <c r="K44" s="29" t="n">
        <f aca="false">MAX(0,F44-G44)</f>
        <v>40</v>
      </c>
      <c r="L44" s="30" t="n">
        <f aca="false">IFERROR(F44/G44,0)</f>
        <v>1.66666666666667</v>
      </c>
      <c r="M44" s="16" t="n">
        <f aca="false">COUNTIF('Değişiklik İlişkisi'!$C$4:$C$29,C44)</f>
        <v>4</v>
      </c>
      <c r="N44" s="27" t="str">
        <f aca="false">IFERROR(VLOOKUP(H44,'Kök Neden Pivot'!$N$2:$O$8,2,FALSE()),H44)</f>
        <v>Veritabanı</v>
      </c>
    </row>
    <row r="45" customFormat="false" ht="15" hidden="false" customHeight="false" outlineLevel="0" collapsed="false">
      <c r="A45" s="27" t="s">
        <v>148</v>
      </c>
      <c r="B45" s="28" t="n">
        <v>46202</v>
      </c>
      <c r="C45" s="27" t="s">
        <v>38</v>
      </c>
      <c r="D45" s="27" t="s">
        <v>29</v>
      </c>
      <c r="E45" s="27" t="s">
        <v>149</v>
      </c>
      <c r="F45" s="29" t="n">
        <v>265</v>
      </c>
      <c r="G45" s="29" t="n">
        <v>240</v>
      </c>
      <c r="H45" s="27" t="s">
        <v>69</v>
      </c>
      <c r="I45" s="27" t="s">
        <v>57</v>
      </c>
      <c r="J45" s="16" t="str">
        <f aca="false">IF(F45&gt;G45,"İhlal","Uygun")</f>
        <v>İhlal</v>
      </c>
      <c r="K45" s="29" t="n">
        <f aca="false">MAX(0,F45-G45)</f>
        <v>25</v>
      </c>
      <c r="L45" s="30" t="n">
        <f aca="false">IFERROR(F45/G45,0)</f>
        <v>1.10416666666667</v>
      </c>
      <c r="M45" s="16" t="n">
        <f aca="false">COUNTIF('Değişiklik İlişkisi'!$C$4:$C$29,C45)</f>
        <v>2</v>
      </c>
      <c r="N45" s="27" t="str">
        <f aca="false">IFERROR(VLOOKUP(H45,'Kök Neden Pivot'!$N$2:$O$8,2,FALSE()),H45)</f>
        <v>Konfigürasyon</v>
      </c>
    </row>
    <row r="46" customFormat="false" ht="15" hidden="false" customHeight="false" outlineLevel="0" collapsed="false">
      <c r="A46" s="27" t="s">
        <v>150</v>
      </c>
      <c r="B46" s="28" t="n">
        <v>46205</v>
      </c>
      <c r="C46" s="27" t="s">
        <v>38</v>
      </c>
      <c r="D46" s="27" t="s">
        <v>30</v>
      </c>
      <c r="E46" s="27" t="s">
        <v>151</v>
      </c>
      <c r="F46" s="29" t="n">
        <v>399</v>
      </c>
      <c r="G46" s="29" t="n">
        <v>480</v>
      </c>
      <c r="H46" s="27" t="s">
        <v>60</v>
      </c>
      <c r="I46" s="27" t="s">
        <v>57</v>
      </c>
      <c r="J46" s="16" t="str">
        <f aca="false">IF(F46&gt;G46,"İhlal","Uygun")</f>
        <v>Uygun</v>
      </c>
      <c r="K46" s="29" t="n">
        <f aca="false">MAX(0,F46-G46)</f>
        <v>0</v>
      </c>
      <c r="L46" s="30" t="n">
        <f aca="false">IFERROR(F46/G46,0)</f>
        <v>0.83125</v>
      </c>
      <c r="M46" s="16" t="n">
        <f aca="false">COUNTIF('Değişiklik İlişkisi'!$C$4:$C$29,C46)</f>
        <v>2</v>
      </c>
      <c r="N46" s="27" t="str">
        <f aca="false">IFERROR(VLOOKUP(H46,'Kök Neden Pivot'!$N$2:$O$8,2,FALSE()),H46)</f>
        <v>Veritabanı</v>
      </c>
    </row>
    <row r="47" customFormat="false" ht="15" hidden="false" customHeight="false" outlineLevel="0" collapsed="false">
      <c r="A47" s="27" t="s">
        <v>152</v>
      </c>
      <c r="B47" s="28" t="n">
        <v>46203</v>
      </c>
      <c r="C47" s="27" t="s">
        <v>42</v>
      </c>
      <c r="D47" s="27" t="s">
        <v>30</v>
      </c>
      <c r="E47" s="27" t="s">
        <v>153</v>
      </c>
      <c r="F47" s="29" t="n">
        <v>201</v>
      </c>
      <c r="G47" s="29" t="n">
        <v>480</v>
      </c>
      <c r="H47" s="27" t="s">
        <v>60</v>
      </c>
      <c r="I47" s="27" t="s">
        <v>57</v>
      </c>
      <c r="J47" s="16" t="str">
        <f aca="false">IF(F47&gt;G47,"İhlal","Uygun")</f>
        <v>Uygun</v>
      </c>
      <c r="K47" s="29" t="n">
        <f aca="false">MAX(0,F47-G47)</f>
        <v>0</v>
      </c>
      <c r="L47" s="30" t="n">
        <f aca="false">IFERROR(F47/G47,0)</f>
        <v>0.41875</v>
      </c>
      <c r="M47" s="16" t="n">
        <f aca="false">COUNTIF('Değişiklik İlişkisi'!$C$4:$C$29,C47)</f>
        <v>1</v>
      </c>
      <c r="N47" s="27" t="str">
        <f aca="false">IFERROR(VLOOKUP(H47,'Kök Neden Pivot'!$N$2:$O$8,2,FALSE()),H47)</f>
        <v>Veritabanı</v>
      </c>
    </row>
    <row r="48" customFormat="false" ht="15" hidden="false" customHeight="false" outlineLevel="0" collapsed="false">
      <c r="A48" s="27" t="s">
        <v>154</v>
      </c>
      <c r="B48" s="28" t="n">
        <v>46204</v>
      </c>
      <c r="C48" s="27" t="s">
        <v>38</v>
      </c>
      <c r="D48" s="27" t="s">
        <v>28</v>
      </c>
      <c r="E48" s="27" t="s">
        <v>155</v>
      </c>
      <c r="F48" s="29" t="n">
        <v>106</v>
      </c>
      <c r="G48" s="29" t="n">
        <v>60</v>
      </c>
      <c r="H48" s="27" t="s">
        <v>66</v>
      </c>
      <c r="I48" s="27" t="s">
        <v>57</v>
      </c>
      <c r="J48" s="16" t="str">
        <f aca="false">IF(F48&gt;G48,"İhlal","Uygun")</f>
        <v>İhlal</v>
      </c>
      <c r="K48" s="29" t="n">
        <f aca="false">MAX(0,F48-G48)</f>
        <v>46</v>
      </c>
      <c r="L48" s="30" t="n">
        <f aca="false">IFERROR(F48/G48,0)</f>
        <v>1.76666666666667</v>
      </c>
      <c r="M48" s="16" t="n">
        <f aca="false">COUNTIF('Değişiklik İlişkisi'!$C$4:$C$29,C48)</f>
        <v>2</v>
      </c>
      <c r="N48" s="27" t="str">
        <f aca="false">IFERROR(VLOOKUP(H48,'Kök Neden Pivot'!$N$2:$O$8,2,FALSE()),H48)</f>
        <v>Sürüm/Dağıtım</v>
      </c>
    </row>
    <row r="49" customFormat="false" ht="15" hidden="false" customHeight="false" outlineLevel="0" collapsed="false">
      <c r="A49" s="27" t="s">
        <v>156</v>
      </c>
      <c r="B49" s="28" t="n">
        <v>46207</v>
      </c>
      <c r="C49" s="27" t="s">
        <v>42</v>
      </c>
      <c r="D49" s="27" t="s">
        <v>31</v>
      </c>
      <c r="E49" s="27" t="s">
        <v>157</v>
      </c>
      <c r="F49" s="29" t="n">
        <v>2113</v>
      </c>
      <c r="G49" s="29" t="n">
        <v>1440</v>
      </c>
      <c r="H49" s="27" t="s">
        <v>80</v>
      </c>
      <c r="I49" s="27" t="s">
        <v>57</v>
      </c>
      <c r="J49" s="16" t="str">
        <f aca="false">IF(F49&gt;G49,"İhlal","Uygun")</f>
        <v>İhlal</v>
      </c>
      <c r="K49" s="29" t="n">
        <f aca="false">MAX(0,F49-G49)</f>
        <v>673</v>
      </c>
      <c r="L49" s="30" t="n">
        <f aca="false">IFERROR(F49/G49,0)</f>
        <v>1.46736111111111</v>
      </c>
      <c r="M49" s="16" t="n">
        <f aca="false">COUNTIF('Değişiklik İlişkisi'!$C$4:$C$29,C49)</f>
        <v>1</v>
      </c>
      <c r="N49" s="27" t="str">
        <f aca="false">IFERROR(VLOOKUP(H49,'Kök Neden Pivot'!$N$2:$O$8,2,FALSE()),H49)</f>
        <v>Üçüncü Taraf</v>
      </c>
    </row>
    <row r="50" customFormat="false" ht="15" hidden="false" customHeight="false" outlineLevel="0" collapsed="false">
      <c r="A50" s="27" t="s">
        <v>158</v>
      </c>
      <c r="B50" s="28" t="n">
        <v>46202</v>
      </c>
      <c r="C50" s="27" t="s">
        <v>37</v>
      </c>
      <c r="D50" s="27" t="s">
        <v>31</v>
      </c>
      <c r="E50" s="27" t="s">
        <v>143</v>
      </c>
      <c r="F50" s="29" t="n">
        <v>726</v>
      </c>
      <c r="G50" s="29" t="n">
        <v>1440</v>
      </c>
      <c r="H50" s="27" t="s">
        <v>60</v>
      </c>
      <c r="I50" s="27" t="s">
        <v>75</v>
      </c>
      <c r="J50" s="16" t="str">
        <f aca="false">IF(F50&gt;G50,"İhlal","Uygun")</f>
        <v>Uygun</v>
      </c>
      <c r="K50" s="29" t="n">
        <f aca="false">MAX(0,F50-G50)</f>
        <v>0</v>
      </c>
      <c r="L50" s="30" t="n">
        <f aca="false">IFERROR(F50/G50,0)</f>
        <v>0.504166666666667</v>
      </c>
      <c r="M50" s="16" t="n">
        <f aca="false">COUNTIF('Değişiklik İlişkisi'!$C$4:$C$29,C50)</f>
        <v>6</v>
      </c>
      <c r="N50" s="27" t="str">
        <f aca="false">IFERROR(VLOOKUP(H50,'Kök Neden Pivot'!$N$2:$O$8,2,FALSE()),H50)</f>
        <v>Veritabanı</v>
      </c>
    </row>
    <row r="51" customFormat="false" ht="15" hidden="false" customHeight="false" outlineLevel="0" collapsed="false">
      <c r="A51" s="27" t="s">
        <v>159</v>
      </c>
      <c r="B51" s="28" t="n">
        <v>46205</v>
      </c>
      <c r="C51" s="27" t="s">
        <v>41</v>
      </c>
      <c r="D51" s="27" t="s">
        <v>28</v>
      </c>
      <c r="E51" s="27" t="s">
        <v>160</v>
      </c>
      <c r="F51" s="29" t="n">
        <v>49</v>
      </c>
      <c r="G51" s="29" t="n">
        <v>60</v>
      </c>
      <c r="H51" s="27" t="s">
        <v>56</v>
      </c>
      <c r="I51" s="27" t="s">
        <v>57</v>
      </c>
      <c r="J51" s="16" t="str">
        <f aca="false">IF(F51&gt;G51,"İhlal","Uygun")</f>
        <v>Uygun</v>
      </c>
      <c r="K51" s="29" t="n">
        <f aca="false">MAX(0,F51-G51)</f>
        <v>0</v>
      </c>
      <c r="L51" s="30" t="n">
        <f aca="false">IFERROR(F51/G51,0)</f>
        <v>0.816666666666667</v>
      </c>
      <c r="M51" s="16" t="n">
        <f aca="false">COUNTIF('Değişiklik İlişkisi'!$C$4:$C$29,C51)</f>
        <v>4</v>
      </c>
      <c r="N51" s="27" t="str">
        <f aca="false">IFERROR(VLOOKUP(H51,'Kök Neden Pivot'!$N$2:$O$8,2,FALSE()),H51)</f>
        <v>Kapasite</v>
      </c>
    </row>
    <row r="52" customFormat="false" ht="15" hidden="false" customHeight="false" outlineLevel="0" collapsed="false">
      <c r="A52" s="27" t="s">
        <v>161</v>
      </c>
      <c r="B52" s="28" t="n">
        <v>46203</v>
      </c>
      <c r="C52" s="27" t="s">
        <v>38</v>
      </c>
      <c r="D52" s="27" t="s">
        <v>29</v>
      </c>
      <c r="E52" s="27" t="s">
        <v>162</v>
      </c>
      <c r="F52" s="29" t="n">
        <v>393</v>
      </c>
      <c r="G52" s="29" t="n">
        <v>240</v>
      </c>
      <c r="H52" s="27" t="s">
        <v>66</v>
      </c>
      <c r="I52" s="27" t="s">
        <v>57</v>
      </c>
      <c r="J52" s="16" t="str">
        <f aca="false">IF(F52&gt;G52,"İhlal","Uygun")</f>
        <v>İhlal</v>
      </c>
      <c r="K52" s="29" t="n">
        <f aca="false">MAX(0,F52-G52)</f>
        <v>153</v>
      </c>
      <c r="L52" s="30" t="n">
        <f aca="false">IFERROR(F52/G52,0)</f>
        <v>1.6375</v>
      </c>
      <c r="M52" s="16" t="n">
        <f aca="false">COUNTIF('Değişiklik İlişkisi'!$C$4:$C$29,C52)</f>
        <v>2</v>
      </c>
      <c r="N52" s="27" t="str">
        <f aca="false">IFERROR(VLOOKUP(H52,'Kök Neden Pivot'!$N$2:$O$8,2,FALSE()),H52)</f>
        <v>Sürüm/Dağıtım</v>
      </c>
    </row>
    <row r="53" customFormat="false" ht="15" hidden="false" customHeight="false" outlineLevel="0" collapsed="false">
      <c r="A53" s="27" t="s">
        <v>163</v>
      </c>
      <c r="B53" s="28" t="n">
        <v>46204</v>
      </c>
      <c r="C53" s="27" t="s">
        <v>38</v>
      </c>
      <c r="D53" s="27" t="s">
        <v>31</v>
      </c>
      <c r="E53" s="27" t="s">
        <v>164</v>
      </c>
      <c r="F53" s="29" t="n">
        <v>2307</v>
      </c>
      <c r="G53" s="29" t="n">
        <v>1440</v>
      </c>
      <c r="H53" s="27" t="s">
        <v>69</v>
      </c>
      <c r="I53" s="27" t="s">
        <v>57</v>
      </c>
      <c r="J53" s="16" t="str">
        <f aca="false">IF(F53&gt;G53,"İhlal","Uygun")</f>
        <v>İhlal</v>
      </c>
      <c r="K53" s="29" t="n">
        <f aca="false">MAX(0,F53-G53)</f>
        <v>867</v>
      </c>
      <c r="L53" s="30" t="n">
        <f aca="false">IFERROR(F53/G53,0)</f>
        <v>1.60208333333333</v>
      </c>
      <c r="M53" s="16" t="n">
        <f aca="false">COUNTIF('Değişiklik İlişkisi'!$C$4:$C$29,C53)</f>
        <v>2</v>
      </c>
      <c r="N53" s="27" t="str">
        <f aca="false">IFERROR(VLOOKUP(H53,'Kök Neden Pivot'!$N$2:$O$8,2,FALSE()),H53)</f>
        <v>Konfigürasyon</v>
      </c>
    </row>
    <row r="54" customFormat="false" ht="15" hidden="false" customHeight="false" outlineLevel="0" collapsed="false">
      <c r="A54" s="27" t="s">
        <v>165</v>
      </c>
      <c r="B54" s="28" t="n">
        <v>46203</v>
      </c>
      <c r="C54" s="27" t="s">
        <v>37</v>
      </c>
      <c r="D54" s="27" t="s">
        <v>29</v>
      </c>
      <c r="E54" s="27" t="s">
        <v>166</v>
      </c>
      <c r="F54" s="29" t="n">
        <v>372</v>
      </c>
      <c r="G54" s="29" t="n">
        <v>240</v>
      </c>
      <c r="H54" s="27" t="s">
        <v>69</v>
      </c>
      <c r="I54" s="27" t="s">
        <v>75</v>
      </c>
      <c r="J54" s="16" t="str">
        <f aca="false">IF(F54&gt;G54,"İhlal","Uygun")</f>
        <v>İhlal</v>
      </c>
      <c r="K54" s="29" t="n">
        <f aca="false">MAX(0,F54-G54)</f>
        <v>132</v>
      </c>
      <c r="L54" s="30" t="n">
        <f aca="false">IFERROR(F54/G54,0)</f>
        <v>1.55</v>
      </c>
      <c r="M54" s="16" t="n">
        <f aca="false">COUNTIF('Değişiklik İlişkisi'!$C$4:$C$29,C54)</f>
        <v>6</v>
      </c>
      <c r="N54" s="27" t="str">
        <f aca="false">IFERROR(VLOOKUP(H54,'Kök Neden Pivot'!$N$2:$O$8,2,FALSE()),H54)</f>
        <v>Konfigürasyon</v>
      </c>
    </row>
    <row r="55" customFormat="false" ht="15" hidden="false" customHeight="false" outlineLevel="0" collapsed="false">
      <c r="A55" s="27" t="s">
        <v>167</v>
      </c>
      <c r="B55" s="28" t="n">
        <v>46204</v>
      </c>
      <c r="C55" s="27" t="s">
        <v>40</v>
      </c>
      <c r="D55" s="27" t="s">
        <v>30</v>
      </c>
      <c r="E55" s="27" t="s">
        <v>168</v>
      </c>
      <c r="F55" s="29" t="n">
        <v>742</v>
      </c>
      <c r="G55" s="29" t="n">
        <v>480</v>
      </c>
      <c r="H55" s="27" t="s">
        <v>80</v>
      </c>
      <c r="I55" s="27" t="s">
        <v>57</v>
      </c>
      <c r="J55" s="16" t="str">
        <f aca="false">IF(F55&gt;G55,"İhlal","Uygun")</f>
        <v>İhlal</v>
      </c>
      <c r="K55" s="29" t="n">
        <f aca="false">MAX(0,F55-G55)</f>
        <v>262</v>
      </c>
      <c r="L55" s="30" t="n">
        <f aca="false">IFERROR(F55/G55,0)</f>
        <v>1.54583333333333</v>
      </c>
      <c r="M55" s="16" t="n">
        <f aca="false">COUNTIF('Değişiklik İlişkisi'!$C$4:$C$29,C55)</f>
        <v>6</v>
      </c>
      <c r="N55" s="27" t="str">
        <f aca="false">IFERROR(VLOOKUP(H55,'Kök Neden Pivot'!$N$2:$O$8,2,FALSE()),H55)</f>
        <v>Üçüncü Taraf</v>
      </c>
    </row>
    <row r="56" customFormat="false" ht="15" hidden="false" customHeight="false" outlineLevel="0" collapsed="false">
      <c r="A56" s="27" t="s">
        <v>169</v>
      </c>
      <c r="B56" s="28" t="n">
        <v>46208</v>
      </c>
      <c r="C56" s="27" t="s">
        <v>37</v>
      </c>
      <c r="D56" s="27" t="s">
        <v>28</v>
      </c>
      <c r="E56" s="27" t="s">
        <v>170</v>
      </c>
      <c r="F56" s="29" t="n">
        <v>82</v>
      </c>
      <c r="G56" s="29" t="n">
        <v>60</v>
      </c>
      <c r="H56" s="27" t="s">
        <v>74</v>
      </c>
      <c r="I56" s="27" t="s">
        <v>57</v>
      </c>
      <c r="J56" s="16" t="str">
        <f aca="false">IF(F56&gt;G56,"İhlal","Uygun")</f>
        <v>İhlal</v>
      </c>
      <c r="K56" s="29" t="n">
        <f aca="false">MAX(0,F56-G56)</f>
        <v>22</v>
      </c>
      <c r="L56" s="30" t="n">
        <f aca="false">IFERROR(F56/G56,0)</f>
        <v>1.36666666666667</v>
      </c>
      <c r="M56" s="16" t="n">
        <f aca="false">COUNTIF('Değişiklik İlişkisi'!$C$4:$C$29,C56)</f>
        <v>6</v>
      </c>
      <c r="N56" s="27" t="str">
        <f aca="false">IFERROR(VLOOKUP(H56,'Kök Neden Pivot'!$N$2:$O$8,2,FALSE()),H56)</f>
        <v>Kimlik/Sertifika</v>
      </c>
    </row>
    <row r="57" customFormat="false" ht="15" hidden="false" customHeight="false" outlineLevel="0" collapsed="false">
      <c r="A57" s="27" t="s">
        <v>171</v>
      </c>
      <c r="B57" s="28" t="n">
        <v>46207</v>
      </c>
      <c r="C57" s="27" t="s">
        <v>42</v>
      </c>
      <c r="D57" s="27" t="s">
        <v>31</v>
      </c>
      <c r="E57" s="27" t="s">
        <v>172</v>
      </c>
      <c r="F57" s="29" t="n">
        <v>2645</v>
      </c>
      <c r="G57" s="29" t="n">
        <v>1440</v>
      </c>
      <c r="H57" s="27" t="s">
        <v>66</v>
      </c>
      <c r="I57" s="27" t="s">
        <v>75</v>
      </c>
      <c r="J57" s="16" t="str">
        <f aca="false">IF(F57&gt;G57,"İhlal","Uygun")</f>
        <v>İhlal</v>
      </c>
      <c r="K57" s="29" t="n">
        <f aca="false">MAX(0,F57-G57)</f>
        <v>1205</v>
      </c>
      <c r="L57" s="30" t="n">
        <f aca="false">IFERROR(F57/G57,0)</f>
        <v>1.83680555555556</v>
      </c>
      <c r="M57" s="16" t="n">
        <f aca="false">COUNTIF('Değişiklik İlişkisi'!$C$4:$C$29,C57)</f>
        <v>1</v>
      </c>
      <c r="N57" s="27" t="str">
        <f aca="false">IFERROR(VLOOKUP(H57,'Kök Neden Pivot'!$N$2:$O$8,2,FALSE()),H57)</f>
        <v>Sürüm/Dağıtım</v>
      </c>
    </row>
    <row r="58" customFormat="false" ht="15" hidden="false" customHeight="false" outlineLevel="0" collapsed="false">
      <c r="A58" s="27" t="s">
        <v>173</v>
      </c>
      <c r="B58" s="28" t="n">
        <v>46204</v>
      </c>
      <c r="C58" s="27" t="s">
        <v>37</v>
      </c>
      <c r="D58" s="27" t="s">
        <v>30</v>
      </c>
      <c r="E58" s="27" t="s">
        <v>174</v>
      </c>
      <c r="F58" s="29" t="n">
        <v>626</v>
      </c>
      <c r="G58" s="29" t="n">
        <v>480</v>
      </c>
      <c r="H58" s="27" t="s">
        <v>74</v>
      </c>
      <c r="I58" s="27" t="s">
        <v>57</v>
      </c>
      <c r="J58" s="16" t="str">
        <f aca="false">IF(F58&gt;G58,"İhlal","Uygun")</f>
        <v>İhlal</v>
      </c>
      <c r="K58" s="29" t="n">
        <f aca="false">MAX(0,F58-G58)</f>
        <v>146</v>
      </c>
      <c r="L58" s="30" t="n">
        <f aca="false">IFERROR(F58/G58,0)</f>
        <v>1.30416666666667</v>
      </c>
      <c r="M58" s="16" t="n">
        <f aca="false">COUNTIF('Değişiklik İlişkisi'!$C$4:$C$29,C58)</f>
        <v>6</v>
      </c>
      <c r="N58" s="27" t="str">
        <f aca="false">IFERROR(VLOOKUP(H58,'Kök Neden Pivot'!$N$2:$O$8,2,FALSE()),H58)</f>
        <v>Kimlik/Sertifika</v>
      </c>
    </row>
    <row r="59" customFormat="false" ht="15" hidden="false" customHeight="false" outlineLevel="0" collapsed="false">
      <c r="A59" s="27" t="s">
        <v>175</v>
      </c>
      <c r="B59" s="28" t="n">
        <v>46202</v>
      </c>
      <c r="C59" s="27" t="s">
        <v>37</v>
      </c>
      <c r="D59" s="27" t="s">
        <v>29</v>
      </c>
      <c r="E59" s="27" t="s">
        <v>176</v>
      </c>
      <c r="F59" s="29" t="n">
        <v>339</v>
      </c>
      <c r="G59" s="29" t="n">
        <v>240</v>
      </c>
      <c r="H59" s="27" t="s">
        <v>74</v>
      </c>
      <c r="I59" s="27" t="s">
        <v>57</v>
      </c>
      <c r="J59" s="16" t="str">
        <f aca="false">IF(F59&gt;G59,"İhlal","Uygun")</f>
        <v>İhlal</v>
      </c>
      <c r="K59" s="29" t="n">
        <f aca="false">MAX(0,F59-G59)</f>
        <v>99</v>
      </c>
      <c r="L59" s="30" t="n">
        <f aca="false">IFERROR(F59/G59,0)</f>
        <v>1.4125</v>
      </c>
      <c r="M59" s="16" t="n">
        <f aca="false">COUNTIF('Değişiklik İlişkisi'!$C$4:$C$29,C59)</f>
        <v>6</v>
      </c>
      <c r="N59" s="27" t="str">
        <f aca="false">IFERROR(VLOOKUP(H59,'Kök Neden Pivot'!$N$2:$O$8,2,FALSE()),H59)</f>
        <v>Kimlik/Sertifika</v>
      </c>
    </row>
    <row r="60" customFormat="false" ht="15" hidden="false" customHeight="false" outlineLevel="0" collapsed="false">
      <c r="A60" s="27" t="s">
        <v>177</v>
      </c>
      <c r="B60" s="28" t="n">
        <v>46206</v>
      </c>
      <c r="C60" s="27" t="s">
        <v>37</v>
      </c>
      <c r="D60" s="27" t="s">
        <v>30</v>
      </c>
      <c r="E60" s="27" t="s">
        <v>178</v>
      </c>
      <c r="F60" s="29" t="n">
        <v>417</v>
      </c>
      <c r="G60" s="29" t="n">
        <v>480</v>
      </c>
      <c r="H60" s="27" t="s">
        <v>80</v>
      </c>
      <c r="I60" s="27" t="s">
        <v>75</v>
      </c>
      <c r="J60" s="16" t="str">
        <f aca="false">IF(F60&gt;G60,"İhlal","Uygun")</f>
        <v>Uygun</v>
      </c>
      <c r="K60" s="29" t="n">
        <f aca="false">MAX(0,F60-G60)</f>
        <v>0</v>
      </c>
      <c r="L60" s="30" t="n">
        <f aca="false">IFERROR(F60/G60,0)</f>
        <v>0.86875</v>
      </c>
      <c r="M60" s="16" t="n">
        <f aca="false">COUNTIF('Değişiklik İlişkisi'!$C$4:$C$29,C60)</f>
        <v>6</v>
      </c>
      <c r="N60" s="27" t="str">
        <f aca="false">IFERROR(VLOOKUP(H60,'Kök Neden Pivot'!$N$2:$O$8,2,FALSE()),H60)</f>
        <v>Üçüncü Taraf</v>
      </c>
    </row>
    <row r="61" customFormat="false" ht="15" hidden="false" customHeight="false" outlineLevel="0" collapsed="false">
      <c r="A61" s="27" t="s">
        <v>179</v>
      </c>
      <c r="B61" s="28" t="n">
        <v>46205</v>
      </c>
      <c r="C61" s="27" t="s">
        <v>38</v>
      </c>
      <c r="D61" s="27" t="s">
        <v>28</v>
      </c>
      <c r="E61" s="27" t="s">
        <v>180</v>
      </c>
      <c r="F61" s="29" t="n">
        <v>49</v>
      </c>
      <c r="G61" s="29" t="n">
        <v>60</v>
      </c>
      <c r="H61" s="27" t="s">
        <v>74</v>
      </c>
      <c r="I61" s="27" t="s">
        <v>57</v>
      </c>
      <c r="J61" s="16" t="str">
        <f aca="false">IF(F61&gt;G61,"İhlal","Uygun")</f>
        <v>Uygun</v>
      </c>
      <c r="K61" s="29" t="n">
        <f aca="false">MAX(0,F61-G61)</f>
        <v>0</v>
      </c>
      <c r="L61" s="30" t="n">
        <f aca="false">IFERROR(F61/G61,0)</f>
        <v>0.816666666666667</v>
      </c>
      <c r="M61" s="16" t="n">
        <f aca="false">COUNTIF('Değişiklik İlişkisi'!$C$4:$C$29,C61)</f>
        <v>2</v>
      </c>
      <c r="N61" s="27" t="str">
        <f aca="false">IFERROR(VLOOKUP(H61,'Kök Neden Pivot'!$N$2:$O$8,2,FALSE()),H61)</f>
        <v>Kimlik/Sertifika</v>
      </c>
    </row>
    <row r="62" customFormat="false" ht="15" hidden="false" customHeight="false" outlineLevel="0" collapsed="false">
      <c r="A62" s="27" t="s">
        <v>181</v>
      </c>
      <c r="B62" s="28" t="n">
        <v>46207</v>
      </c>
      <c r="C62" s="27" t="s">
        <v>40</v>
      </c>
      <c r="D62" s="27" t="s">
        <v>30</v>
      </c>
      <c r="E62" s="27" t="s">
        <v>182</v>
      </c>
      <c r="F62" s="29" t="n">
        <v>318</v>
      </c>
      <c r="G62" s="29" t="n">
        <v>480</v>
      </c>
      <c r="H62" s="27" t="s">
        <v>63</v>
      </c>
      <c r="I62" s="27" t="s">
        <v>57</v>
      </c>
      <c r="J62" s="16" t="str">
        <f aca="false">IF(F62&gt;G62,"İhlal","Uygun")</f>
        <v>Uygun</v>
      </c>
      <c r="K62" s="29" t="n">
        <f aca="false">MAX(0,F62-G62)</f>
        <v>0</v>
      </c>
      <c r="L62" s="30" t="n">
        <f aca="false">IFERROR(F62/G62,0)</f>
        <v>0.6625</v>
      </c>
      <c r="M62" s="16" t="n">
        <f aca="false">COUNTIF('Değişiklik İlişkisi'!$C$4:$C$29,C62)</f>
        <v>6</v>
      </c>
      <c r="N62" s="27" t="str">
        <f aca="false">IFERROR(VLOOKUP(H62,'Kök Neden Pivot'!$N$2:$O$8,2,FALSE()),H62)</f>
        <v>Altyapı/Ağ</v>
      </c>
    </row>
    <row r="63" customFormat="false" ht="15" hidden="false" customHeight="false" outlineLevel="0" collapsed="false">
      <c r="A63" s="27" t="s">
        <v>183</v>
      </c>
      <c r="B63" s="28" t="n">
        <v>46207</v>
      </c>
      <c r="C63" s="27" t="s">
        <v>41</v>
      </c>
      <c r="D63" s="27" t="s">
        <v>30</v>
      </c>
      <c r="E63" s="27" t="s">
        <v>184</v>
      </c>
      <c r="F63" s="29" t="n">
        <v>410</v>
      </c>
      <c r="G63" s="29" t="n">
        <v>480</v>
      </c>
      <c r="H63" s="27" t="s">
        <v>60</v>
      </c>
      <c r="I63" s="27" t="s">
        <v>75</v>
      </c>
      <c r="J63" s="16" t="str">
        <f aca="false">IF(F63&gt;G63,"İhlal","Uygun")</f>
        <v>Uygun</v>
      </c>
      <c r="K63" s="29" t="n">
        <f aca="false">MAX(0,F63-G63)</f>
        <v>0</v>
      </c>
      <c r="L63" s="30" t="n">
        <f aca="false">IFERROR(F63/G63,0)</f>
        <v>0.854166666666667</v>
      </c>
      <c r="M63" s="16" t="n">
        <f aca="false">COUNTIF('Değişiklik İlişkisi'!$C$4:$C$29,C63)</f>
        <v>4</v>
      </c>
      <c r="N63" s="27" t="str">
        <f aca="false">IFERROR(VLOOKUP(H63,'Kök Neden Pivot'!$N$2:$O$8,2,FALSE()),H63)</f>
        <v>Veritabanı</v>
      </c>
    </row>
    <row r="64" customFormat="false" ht="15" hidden="false" customHeight="false" outlineLevel="0" collapsed="false">
      <c r="A64" s="27" t="s">
        <v>185</v>
      </c>
      <c r="B64" s="28" t="n">
        <v>46206</v>
      </c>
      <c r="C64" s="27" t="s">
        <v>38</v>
      </c>
      <c r="D64" s="27" t="s">
        <v>28</v>
      </c>
      <c r="E64" s="27" t="s">
        <v>186</v>
      </c>
      <c r="F64" s="29" t="n">
        <v>74</v>
      </c>
      <c r="G64" s="29" t="n">
        <v>60</v>
      </c>
      <c r="H64" s="27" t="s">
        <v>80</v>
      </c>
      <c r="I64" s="27" t="s">
        <v>75</v>
      </c>
      <c r="J64" s="16" t="str">
        <f aca="false">IF(F64&gt;G64,"İhlal","Uygun")</f>
        <v>İhlal</v>
      </c>
      <c r="K64" s="29" t="n">
        <f aca="false">MAX(0,F64-G64)</f>
        <v>14</v>
      </c>
      <c r="L64" s="30" t="n">
        <f aca="false">IFERROR(F64/G64,0)</f>
        <v>1.23333333333333</v>
      </c>
      <c r="M64" s="16" t="n">
        <f aca="false">COUNTIF('Değişiklik İlişkisi'!$C$4:$C$29,C64)</f>
        <v>2</v>
      </c>
      <c r="N64" s="27" t="str">
        <f aca="false">IFERROR(VLOOKUP(H64,'Kök Neden Pivot'!$N$2:$O$8,2,FALSE()),H64)</f>
        <v>Üçüncü Taraf</v>
      </c>
    </row>
    <row r="65" customFormat="false" ht="15" hidden="false" customHeight="false" outlineLevel="0" collapsed="false">
      <c r="A65" s="27" t="s">
        <v>187</v>
      </c>
      <c r="B65" s="28" t="n">
        <v>46202</v>
      </c>
      <c r="C65" s="27" t="s">
        <v>38</v>
      </c>
      <c r="D65" s="27" t="s">
        <v>30</v>
      </c>
      <c r="E65" s="27" t="s">
        <v>188</v>
      </c>
      <c r="F65" s="29" t="n">
        <v>595</v>
      </c>
      <c r="G65" s="29" t="n">
        <v>480</v>
      </c>
      <c r="H65" s="27" t="s">
        <v>69</v>
      </c>
      <c r="I65" s="27" t="s">
        <v>75</v>
      </c>
      <c r="J65" s="16" t="str">
        <f aca="false">IF(F65&gt;G65,"İhlal","Uygun")</f>
        <v>İhlal</v>
      </c>
      <c r="K65" s="29" t="n">
        <f aca="false">MAX(0,F65-G65)</f>
        <v>115</v>
      </c>
      <c r="L65" s="30" t="n">
        <f aca="false">IFERROR(F65/G65,0)</f>
        <v>1.23958333333333</v>
      </c>
      <c r="M65" s="16" t="n">
        <f aca="false">COUNTIF('Değişiklik İlişkisi'!$C$4:$C$29,C65)</f>
        <v>2</v>
      </c>
      <c r="N65" s="27" t="str">
        <f aca="false">IFERROR(VLOOKUP(H65,'Kök Neden Pivot'!$N$2:$O$8,2,FALSE()),H65)</f>
        <v>Konfigürasyon</v>
      </c>
    </row>
  </sheetData>
  <conditionalFormatting sqref="J2:J65">
    <cfRule type="cellIs" priority="2" operator="equal" aboveAverage="0" equalAverage="0" bottom="0" percent="0" rank="0" text="" dxfId="42">
      <formula>"İhlal"</formula>
    </cfRule>
    <cfRule type="cellIs" priority="3" operator="equal" aboveAverage="0" equalAverage="0" bottom="0" percent="0" rank="0" text="" dxfId="43">
      <formula>"Uygun"</formula>
    </cfRule>
  </conditionalFormatting>
  <conditionalFormatting sqref="I2:I65">
    <cfRule type="cellIs" priority="4" operator="equal" aboveAverage="0" equalAverage="0" bottom="0" percent="0" rank="0" text="" dxfId="44">
      <formula>"Evet"</formula>
    </cfRule>
  </conditionalFormatting>
  <conditionalFormatting sqref="D2:D65">
    <cfRule type="cellIs" priority="5" operator="equal" aboveAverage="0" equalAverage="0" bottom="0" percent="0" rank="0" text="" dxfId="45">
      <formula>"P1"</formula>
    </cfRule>
    <cfRule type="cellIs" priority="6" operator="equal" aboveAverage="0" equalAverage="0" bottom="0" percent="0" rank="0" text="" dxfId="46">
      <formula>"P2"</formula>
    </cfRule>
    <cfRule type="cellIs" priority="7" operator="equal" aboveAverage="0" equalAverage="0" bottom="0" percent="0" rank="0" text="" dxfId="47">
      <formula>"P3"</formula>
    </cfRule>
    <cfRule type="cellIs" priority="8" operator="equal" aboveAverage="0" equalAverage="0" bottom="0" percent="0" rank="0" text="" dxfId="48">
      <formula>"P4"</formula>
    </cfRule>
  </conditionalFormatting>
  <conditionalFormatting sqref="K2:K65">
    <cfRule type="colorScale" priority="9">
      <colorScale>
        <cfvo type="num" val="0"/>
        <cfvo type="max" val="0"/>
        <color rgb="FFFFFFFF"/>
        <color rgb="FFF8696B"/>
      </colorScale>
    </cfRule>
  </conditionalFormatting>
  <conditionalFormatting sqref="L2:L65">
    <cfRule type="dataBar" priority="10">
      <dataBar showValue="1" minLength="10" maxLength="90">
        <cfvo type="num" val="0"/>
        <cfvo type="max" val="0"/>
        <color rgb="FF638EC6"/>
      </dataBar>
      <extLst>
        <ext xmlns:x14="http://schemas.microsoft.com/office/spreadsheetml/2009/9/main" uri="{B025F937-C7B1-47D3-B67F-A62EFF666E3E}">
          <x14:id>{C43E466A-3914-464B-BF8B-FA81B8B7382B}</x14:id>
        </ext>
      </extLst>
    </cfRule>
    <cfRule type="expression" priority="11" aboveAverage="0" equalAverage="0" bottom="0" percent="0" rank="0" text="" dxfId="0">
      <formula>$L2&gt;1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43E466A-3914-464B-BF8B-FA81B8B7382B}">
            <x14:dataBar minLength="10" maxLength="90" axisPosition="none" gradient="true">
              <x14:cfvo type="num">
                <xm:f>0</xm:f>
              </x14:cfvo>
              <x14:cfvo type="max"/>
              <x14:negativeFillColor rgb="FF638EC6"/>
              <x14:axisColor rgb="FF000000"/>
            </x14:dataBar>
          </x14:cfRule>
          <xm:sqref>L2:L65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3" min="2" style="0" width="13"/>
    <col collapsed="false" customWidth="true" hidden="false" outlineLevel="0" max="4" min="4" style="0" width="11"/>
    <col collapsed="false" customWidth="true" hidden="false" outlineLevel="0" max="5" min="5" style="0" width="13"/>
    <col collapsed="false" customWidth="true" hidden="false" outlineLevel="0" max="6" min="6" style="0" width="11"/>
    <col collapsed="false" customWidth="true" hidden="false" outlineLevel="0" max="7" min="7" style="0" width="12"/>
    <col collapsed="false" customWidth="true" hidden="false" outlineLevel="0" max="8" min="8" style="0" width="10"/>
    <col collapsed="false" customWidth="true" hidden="false" outlineLevel="0" max="9" min="9" style="0" width="9"/>
    <col collapsed="false" customWidth="true" hidden="false" outlineLevel="0" max="14" min="14" style="0" width="26"/>
    <col collapsed="false" customWidth="true" hidden="false" outlineLevel="0" max="15" min="15" style="0" width="15"/>
  </cols>
  <sheetData>
    <row r="1" customFormat="false" ht="17.35" hidden="false" customHeight="false" outlineLevel="0" collapsed="false">
      <c r="A1" s="1" t="s">
        <v>189</v>
      </c>
      <c r="B1" s="1"/>
      <c r="C1" s="1"/>
      <c r="D1" s="1"/>
      <c r="E1" s="1"/>
      <c r="F1" s="1"/>
      <c r="G1" s="1"/>
      <c r="H1" s="1"/>
      <c r="I1" s="1"/>
      <c r="N1" s="31" t="s">
        <v>47</v>
      </c>
      <c r="O1" s="31" t="s">
        <v>53</v>
      </c>
    </row>
    <row r="2" customFormat="false" ht="15" hidden="false" customHeight="false" outlineLevel="0" collapsed="false">
      <c r="A2" s="4" t="s">
        <v>190</v>
      </c>
      <c r="B2" s="4"/>
      <c r="C2" s="4"/>
      <c r="D2" s="4"/>
      <c r="E2" s="4"/>
      <c r="F2" s="4"/>
      <c r="G2" s="4"/>
      <c r="N2" s="32" t="s">
        <v>63</v>
      </c>
      <c r="O2" s="32" t="s">
        <v>191</v>
      </c>
    </row>
    <row r="3" customFormat="false" ht="26.85" hidden="false" customHeight="false" outlineLevel="0" collapsed="false">
      <c r="A3" s="14" t="s">
        <v>53</v>
      </c>
      <c r="B3" s="14" t="s">
        <v>192</v>
      </c>
      <c r="C3" s="14" t="s">
        <v>23</v>
      </c>
      <c r="D3" s="14" t="s">
        <v>25</v>
      </c>
      <c r="E3" s="14" t="s">
        <v>26</v>
      </c>
      <c r="F3" s="14" t="s">
        <v>193</v>
      </c>
      <c r="G3" s="14" t="s">
        <v>194</v>
      </c>
      <c r="N3" s="32" t="s">
        <v>69</v>
      </c>
      <c r="O3" s="32" t="s">
        <v>195</v>
      </c>
    </row>
    <row r="4" customFormat="false" ht="15" hidden="false" customHeight="false" outlineLevel="0" collapsed="false">
      <c r="A4" s="26" t="s">
        <v>196</v>
      </c>
      <c r="B4" s="16" t="n">
        <f aca="false">COUNTIF('Olay Listesi'!$N$2:$N$65,"Sürüm/Dağıtım")</f>
        <v>8</v>
      </c>
      <c r="C4" s="17" t="n">
        <f aca="false">IFERROR(AVERAGEIF('Olay Listesi'!$N$2:$N$65,"Sürüm/Dağıtım",'Olay Listesi'!$F$2:$F$65),0)</f>
        <v>653</v>
      </c>
      <c r="D4" s="16" t="n">
        <f aca="false">COUNTIFS('Olay Listesi'!$N$2:$N$65,"Sürüm/Dağıtım",'Olay Listesi'!$J$2:$J$65,"İhlal")</f>
        <v>7</v>
      </c>
      <c r="E4" s="19" t="n">
        <f aca="false">IFERROR(D4/B4,0)</f>
        <v>0.875</v>
      </c>
      <c r="F4" s="16" t="n">
        <f aca="false">COUNTIFS('Olay Listesi'!$N$2:$N$65,"Sürüm/Dağıtım",'Olay Listesi'!$I$2:$I$65,"Evet")</f>
        <v>3</v>
      </c>
      <c r="G4" s="19" t="n">
        <f aca="false">IFERROR(F4/B4,0)</f>
        <v>0.375</v>
      </c>
      <c r="N4" s="32" t="s">
        <v>56</v>
      </c>
      <c r="O4" s="32" t="s">
        <v>197</v>
      </c>
    </row>
    <row r="5" customFormat="false" ht="15" hidden="false" customHeight="false" outlineLevel="0" collapsed="false">
      <c r="A5" s="26" t="s">
        <v>195</v>
      </c>
      <c r="B5" s="16" t="n">
        <f aca="false">COUNTIF('Olay Listesi'!$N$2:$N$65,"Konfigürasyon")</f>
        <v>8</v>
      </c>
      <c r="C5" s="17" t="n">
        <f aca="false">IFERROR(AVERAGEIF('Olay Listesi'!$N$2:$N$65,"Konfigürasyon",'Olay Listesi'!$F$2:$F$65),0)</f>
        <v>653</v>
      </c>
      <c r="D5" s="16" t="n">
        <f aca="false">COUNTIFS('Olay Listesi'!$N$2:$N$65,"Konfigürasyon",'Olay Listesi'!$J$2:$J$65,"İhlal")</f>
        <v>6</v>
      </c>
      <c r="E5" s="19" t="n">
        <f aca="false">IFERROR(D5/B5,0)</f>
        <v>0.75</v>
      </c>
      <c r="F5" s="16" t="n">
        <f aca="false">COUNTIFS('Olay Listesi'!$N$2:$N$65,"Konfigürasyon",'Olay Listesi'!$I$2:$I$65,"Evet")</f>
        <v>2</v>
      </c>
      <c r="G5" s="19" t="n">
        <f aca="false">IFERROR(F5/B5,0)</f>
        <v>0.25</v>
      </c>
      <c r="N5" s="32" t="s">
        <v>74</v>
      </c>
      <c r="O5" s="32" t="s">
        <v>198</v>
      </c>
    </row>
    <row r="6" customFormat="false" ht="15" hidden="false" customHeight="false" outlineLevel="0" collapsed="false">
      <c r="A6" s="26" t="s">
        <v>199</v>
      </c>
      <c r="B6" s="16" t="n">
        <f aca="false">COUNTIF('Olay Listesi'!$N$2:$N$65,"Veritabanı")</f>
        <v>13</v>
      </c>
      <c r="C6" s="17" t="n">
        <f aca="false">IFERROR(AVERAGEIF('Olay Listesi'!$N$2:$N$65,"Veritabanı",'Olay Listesi'!$F$2:$F$65),0)</f>
        <v>487.692307692308</v>
      </c>
      <c r="D6" s="16" t="n">
        <f aca="false">COUNTIFS('Olay Listesi'!$N$2:$N$65,"Veritabanı",'Olay Listesi'!$J$2:$J$65,"İhlal")</f>
        <v>8</v>
      </c>
      <c r="E6" s="19" t="n">
        <f aca="false">IFERROR(D6/B6,0)</f>
        <v>0.615384615384615</v>
      </c>
      <c r="F6" s="16" t="n">
        <f aca="false">COUNTIFS('Olay Listesi'!$N$2:$N$65,"Veritabanı",'Olay Listesi'!$I$2:$I$65,"Evet")</f>
        <v>2</v>
      </c>
      <c r="G6" s="19" t="n">
        <f aca="false">IFERROR(F6/B6,0)</f>
        <v>0.153846153846154</v>
      </c>
      <c r="N6" s="32" t="s">
        <v>66</v>
      </c>
      <c r="O6" s="32" t="s">
        <v>196</v>
      </c>
    </row>
    <row r="7" customFormat="false" ht="15" hidden="false" customHeight="false" outlineLevel="0" collapsed="false">
      <c r="A7" s="26" t="s">
        <v>198</v>
      </c>
      <c r="B7" s="16" t="n">
        <f aca="false">COUNTIF('Olay Listesi'!$N$2:$N$65,"Kimlik/Sertifika")</f>
        <v>10</v>
      </c>
      <c r="C7" s="17" t="n">
        <f aca="false">IFERROR(AVERAGEIF('Olay Listesi'!$N$2:$N$65,"Kimlik/Sertifika",'Olay Listesi'!$F$2:$F$65),0)</f>
        <v>404.6</v>
      </c>
      <c r="D7" s="16" t="n">
        <f aca="false">COUNTIFS('Olay Listesi'!$N$2:$N$65,"Kimlik/Sertifika",'Olay Listesi'!$J$2:$J$65,"İhlal")</f>
        <v>6</v>
      </c>
      <c r="E7" s="19" t="n">
        <f aca="false">IFERROR(D7/B7,0)</f>
        <v>0.6</v>
      </c>
      <c r="F7" s="16" t="n">
        <f aca="false">COUNTIFS('Olay Listesi'!$N$2:$N$65,"Kimlik/Sertifika",'Olay Listesi'!$I$2:$I$65,"Evet")</f>
        <v>3</v>
      </c>
      <c r="G7" s="19" t="n">
        <f aca="false">IFERROR(F7/B7,0)</f>
        <v>0.3</v>
      </c>
      <c r="N7" s="32" t="s">
        <v>60</v>
      </c>
      <c r="O7" s="32" t="s">
        <v>199</v>
      </c>
    </row>
    <row r="8" customFormat="false" ht="15" hidden="false" customHeight="false" outlineLevel="0" collapsed="false">
      <c r="A8" s="26" t="s">
        <v>191</v>
      </c>
      <c r="B8" s="16" t="n">
        <f aca="false">COUNTIF('Olay Listesi'!$N$2:$N$65,"Altyapı/Ağ")</f>
        <v>7</v>
      </c>
      <c r="C8" s="17" t="n">
        <f aca="false">IFERROR(AVERAGEIF('Olay Listesi'!$N$2:$N$65,"Altyapı/Ağ",'Olay Listesi'!$F$2:$F$65),0)</f>
        <v>581</v>
      </c>
      <c r="D8" s="16" t="n">
        <f aca="false">COUNTIFS('Olay Listesi'!$N$2:$N$65,"Altyapı/Ağ",'Olay Listesi'!$J$2:$J$65,"İhlal")</f>
        <v>4</v>
      </c>
      <c r="E8" s="19" t="n">
        <f aca="false">IFERROR(D8/B8,0)</f>
        <v>0.571428571428571</v>
      </c>
      <c r="F8" s="16" t="n">
        <f aca="false">COUNTIFS('Olay Listesi'!$N$2:$N$65,"Altyapı/Ağ",'Olay Listesi'!$I$2:$I$65,"Evet")</f>
        <v>0</v>
      </c>
      <c r="G8" s="19" t="n">
        <f aca="false">IFERROR(F8/B8,0)</f>
        <v>0</v>
      </c>
      <c r="N8" s="32" t="s">
        <v>80</v>
      </c>
      <c r="O8" s="32" t="s">
        <v>200</v>
      </c>
    </row>
    <row r="9" customFormat="false" ht="15" hidden="false" customHeight="false" outlineLevel="0" collapsed="false">
      <c r="A9" s="26" t="s">
        <v>200</v>
      </c>
      <c r="B9" s="16" t="n">
        <f aca="false">COUNTIF('Olay Listesi'!$N$2:$N$65,"Üçüncü Taraf")</f>
        <v>9</v>
      </c>
      <c r="C9" s="17" t="n">
        <f aca="false">IFERROR(AVERAGEIF('Olay Listesi'!$N$2:$N$65,"Üçüncü Taraf",'Olay Listesi'!$F$2:$F$65),0)</f>
        <v>552.111111111111</v>
      </c>
      <c r="D9" s="16" t="n">
        <f aca="false">COUNTIFS('Olay Listesi'!$N$2:$N$65,"Üçüncü Taraf",'Olay Listesi'!$J$2:$J$65,"İhlal")</f>
        <v>5</v>
      </c>
      <c r="E9" s="19" t="n">
        <f aca="false">IFERROR(D9/B9,0)</f>
        <v>0.555555555555556</v>
      </c>
      <c r="F9" s="16" t="n">
        <f aca="false">COUNTIFS('Olay Listesi'!$N$2:$N$65,"Üçüncü Taraf",'Olay Listesi'!$I$2:$I$65,"Evet")</f>
        <v>3</v>
      </c>
      <c r="G9" s="19" t="n">
        <f aca="false">IFERROR(F9/B9,0)</f>
        <v>0.333333333333333</v>
      </c>
    </row>
    <row r="10" customFormat="false" ht="15" hidden="false" customHeight="false" outlineLevel="0" collapsed="false">
      <c r="A10" s="26" t="s">
        <v>197</v>
      </c>
      <c r="B10" s="16" t="n">
        <f aca="false">COUNTIF('Olay Listesi'!$N$2:$N$65,"Kapasite")</f>
        <v>9</v>
      </c>
      <c r="C10" s="17" t="n">
        <f aca="false">IFERROR(AVERAGEIF('Olay Listesi'!$N$2:$N$65,"Kapasite",'Olay Listesi'!$F$2:$F$65),0)</f>
        <v>575.555555555556</v>
      </c>
      <c r="D10" s="16" t="n">
        <f aca="false">COUNTIFS('Olay Listesi'!$N$2:$N$65,"Kapasite",'Olay Listesi'!$J$2:$J$65,"İhlal")</f>
        <v>4</v>
      </c>
      <c r="E10" s="19" t="n">
        <f aca="false">IFERROR(D10/B10,0)</f>
        <v>0.444444444444444</v>
      </c>
      <c r="F10" s="16" t="n">
        <f aca="false">COUNTIFS('Olay Listesi'!$N$2:$N$65,"Kapasite",'Olay Listesi'!$I$2:$I$65,"Evet")</f>
        <v>1</v>
      </c>
      <c r="G10" s="19" t="n">
        <f aca="false">IFERROR(F10/B10,0)</f>
        <v>0.111111111111111</v>
      </c>
    </row>
    <row r="11" customFormat="false" ht="15" hidden="false" customHeight="false" outlineLevel="0" collapsed="false">
      <c r="A11" s="23" t="s">
        <v>201</v>
      </c>
      <c r="B11" s="23" t="n">
        <f aca="false">COUNTA('Olay Listesi'!$A$2:$A$65)</f>
        <v>64</v>
      </c>
      <c r="C11" s="24" t="n">
        <f aca="false">IFERROR(AVERAGE('Olay Listesi'!$F$2:$F$65),0)</f>
        <v>547.65625</v>
      </c>
      <c r="D11" s="23" t="n">
        <f aca="false">COUNTIF('Olay Listesi'!$J$2:$J$65,"İhlal")</f>
        <v>40</v>
      </c>
      <c r="E11" s="25" t="n">
        <f aca="false">IFERROR(D11/B11,0)</f>
        <v>0.625</v>
      </c>
      <c r="F11" s="23" t="n">
        <f aca="false">COUNTIF('Olay Listesi'!$I$2:$I$65,"Evet")</f>
        <v>14</v>
      </c>
      <c r="G11" s="25" t="n">
        <f aca="false">IFERROR(F11/B11,0)</f>
        <v>0.21875</v>
      </c>
    </row>
    <row r="13" customFormat="false" ht="15" hidden="false" customHeight="false" outlineLevel="0" collapsed="false">
      <c r="A13" s="4" t="s">
        <v>202</v>
      </c>
      <c r="B13" s="4"/>
      <c r="C13" s="4"/>
      <c r="D13" s="4"/>
      <c r="E13" s="4"/>
      <c r="F13" s="4"/>
      <c r="G13" s="4"/>
    </row>
    <row r="14" customFormat="false" ht="26.85" hidden="false" customHeight="false" outlineLevel="0" collapsed="false">
      <c r="A14" s="14" t="s">
        <v>47</v>
      </c>
      <c r="B14" s="14" t="s">
        <v>28</v>
      </c>
      <c r="C14" s="14" t="s">
        <v>29</v>
      </c>
      <c r="D14" s="14" t="s">
        <v>30</v>
      </c>
      <c r="E14" s="14" t="s">
        <v>31</v>
      </c>
      <c r="F14" s="14" t="s">
        <v>201</v>
      </c>
    </row>
    <row r="15" customFormat="false" ht="15" hidden="false" customHeight="false" outlineLevel="0" collapsed="false">
      <c r="A15" s="26" t="s">
        <v>60</v>
      </c>
      <c r="B15" s="16" t="n">
        <f aca="false">COUNTIFS('Olay Listesi'!$H$2:$H$65,"Veritabanı kilidi",'Olay Listesi'!$D$2:$D$65,"P1")</f>
        <v>1</v>
      </c>
      <c r="C15" s="16" t="n">
        <f aca="false">COUNTIFS('Olay Listesi'!$H$2:$H$65,"Veritabanı kilidi",'Olay Listesi'!$D$2:$D$65,"P2")</f>
        <v>6</v>
      </c>
      <c r="D15" s="16" t="n">
        <f aca="false">COUNTIFS('Olay Listesi'!$H$2:$H$65,"Veritabanı kilidi",'Olay Listesi'!$D$2:$D$65,"P3")</f>
        <v>4</v>
      </c>
      <c r="E15" s="16" t="n">
        <f aca="false">COUNTIFS('Olay Listesi'!$H$2:$H$65,"Veritabanı kilidi",'Olay Listesi'!$D$2:$D$65,"P4")</f>
        <v>2</v>
      </c>
      <c r="F15" s="33" t="n">
        <f aca="false">COUNTIF('Olay Listesi'!$H$2:$H$65,"Veritabanı kilidi")</f>
        <v>13</v>
      </c>
    </row>
    <row r="16" customFormat="false" ht="26.85" hidden="false" customHeight="false" outlineLevel="0" collapsed="false">
      <c r="A16" s="26" t="s">
        <v>74</v>
      </c>
      <c r="B16" s="16" t="n">
        <f aca="false">COUNTIFS('Olay Listesi'!$H$2:$H$65,"Sertifika/kimlik doğrulama",'Olay Listesi'!$D$2:$D$65,"P1")</f>
        <v>3</v>
      </c>
      <c r="C16" s="16" t="n">
        <f aca="false">COUNTIFS('Olay Listesi'!$H$2:$H$65,"Sertifika/kimlik doğrulama",'Olay Listesi'!$D$2:$D$65,"P2")</f>
        <v>2</v>
      </c>
      <c r="D16" s="16" t="n">
        <f aca="false">COUNTIFS('Olay Listesi'!$H$2:$H$65,"Sertifika/kimlik doğrulama",'Olay Listesi'!$D$2:$D$65,"P3")</f>
        <v>4</v>
      </c>
      <c r="E16" s="16" t="n">
        <f aca="false">COUNTIFS('Olay Listesi'!$H$2:$H$65,"Sertifika/kimlik doğrulama",'Olay Listesi'!$D$2:$D$65,"P4")</f>
        <v>1</v>
      </c>
      <c r="F16" s="33" t="n">
        <f aca="false">COUNTIF('Olay Listesi'!$H$2:$H$65,"Sertifika/kimlik doğrulama")</f>
        <v>10</v>
      </c>
    </row>
    <row r="17" customFormat="false" ht="26.85" hidden="false" customHeight="false" outlineLevel="0" collapsed="false">
      <c r="A17" s="26" t="s">
        <v>56</v>
      </c>
      <c r="B17" s="16" t="n">
        <f aca="false">COUNTIFS('Olay Listesi'!$H$2:$H$65,"Kapasite/kaynak yetersizliği",'Olay Listesi'!$D$2:$D$65,"P1")</f>
        <v>3</v>
      </c>
      <c r="C17" s="16" t="n">
        <f aca="false">COUNTIFS('Olay Listesi'!$H$2:$H$65,"Kapasite/kaynak yetersizliği",'Olay Listesi'!$D$2:$D$65,"P2")</f>
        <v>1</v>
      </c>
      <c r="D17" s="16" t="n">
        <f aca="false">COUNTIFS('Olay Listesi'!$H$2:$H$65,"Kapasite/kaynak yetersizliği",'Olay Listesi'!$D$2:$D$65,"P3")</f>
        <v>2</v>
      </c>
      <c r="E17" s="16" t="n">
        <f aca="false">COUNTIFS('Olay Listesi'!$H$2:$H$65,"Kapasite/kaynak yetersizliği",'Olay Listesi'!$D$2:$D$65,"P4")</f>
        <v>3</v>
      </c>
      <c r="F17" s="33" t="n">
        <f aca="false">COUNTIF('Olay Listesi'!$H$2:$H$65,"Kapasite/kaynak yetersizliği")</f>
        <v>9</v>
      </c>
    </row>
    <row r="18" customFormat="false" ht="26.85" hidden="false" customHeight="false" outlineLevel="0" collapsed="false">
      <c r="A18" s="26" t="s">
        <v>80</v>
      </c>
      <c r="B18" s="16" t="n">
        <f aca="false">COUNTIFS('Olay Listesi'!$H$2:$H$65,"Üçüncü taraf servis kesintisi",'Olay Listesi'!$D$2:$D$65,"P1")</f>
        <v>2</v>
      </c>
      <c r="C18" s="16" t="n">
        <f aca="false">COUNTIFS('Olay Listesi'!$H$2:$H$65,"Üçüncü taraf servis kesintisi",'Olay Listesi'!$D$2:$D$65,"P2")</f>
        <v>2</v>
      </c>
      <c r="D18" s="16" t="n">
        <f aca="false">COUNTIFS('Olay Listesi'!$H$2:$H$65,"Üçüncü taraf servis kesintisi",'Olay Listesi'!$D$2:$D$65,"P3")</f>
        <v>4</v>
      </c>
      <c r="E18" s="16" t="n">
        <f aca="false">COUNTIFS('Olay Listesi'!$H$2:$H$65,"Üçüncü taraf servis kesintisi",'Olay Listesi'!$D$2:$D$65,"P4")</f>
        <v>1</v>
      </c>
      <c r="F18" s="33" t="n">
        <f aca="false">COUNTIF('Olay Listesi'!$H$2:$H$65,"Üçüncü taraf servis kesintisi")</f>
        <v>9</v>
      </c>
    </row>
    <row r="19" customFormat="false" ht="15" hidden="false" customHeight="false" outlineLevel="0" collapsed="false">
      <c r="A19" s="26" t="s">
        <v>69</v>
      </c>
      <c r="B19" s="16" t="n">
        <f aca="false">COUNTIFS('Olay Listesi'!$H$2:$H$65,"Hatalı konfigürasyon",'Olay Listesi'!$D$2:$D$65,"P1")</f>
        <v>2</v>
      </c>
      <c r="C19" s="16" t="n">
        <f aca="false">COUNTIFS('Olay Listesi'!$H$2:$H$65,"Hatalı konfigürasyon",'Olay Listesi'!$D$2:$D$65,"P2")</f>
        <v>3</v>
      </c>
      <c r="D19" s="16" t="n">
        <f aca="false">COUNTIFS('Olay Listesi'!$H$2:$H$65,"Hatalı konfigürasyon",'Olay Listesi'!$D$2:$D$65,"P3")</f>
        <v>1</v>
      </c>
      <c r="E19" s="16" t="n">
        <f aca="false">COUNTIFS('Olay Listesi'!$H$2:$H$65,"Hatalı konfigürasyon",'Olay Listesi'!$D$2:$D$65,"P4")</f>
        <v>2</v>
      </c>
      <c r="F19" s="33" t="n">
        <f aca="false">COUNTIF('Olay Listesi'!$H$2:$H$65,"Hatalı konfigürasyon")</f>
        <v>8</v>
      </c>
    </row>
    <row r="20" customFormat="false" ht="15" hidden="false" customHeight="false" outlineLevel="0" collapsed="false">
      <c r="A20" s="26" t="s">
        <v>66</v>
      </c>
      <c r="B20" s="16" t="n">
        <f aca="false">COUNTIFS('Olay Listesi'!$H$2:$H$65,"Sürüm/dağıtım hatası",'Olay Listesi'!$D$2:$D$65,"P1")</f>
        <v>2</v>
      </c>
      <c r="C20" s="16" t="n">
        <f aca="false">COUNTIFS('Olay Listesi'!$H$2:$H$65,"Sürüm/dağıtım hatası",'Olay Listesi'!$D$2:$D$65,"P2")</f>
        <v>3</v>
      </c>
      <c r="D20" s="16" t="n">
        <f aca="false">COUNTIFS('Olay Listesi'!$H$2:$H$65,"Sürüm/dağıtım hatası",'Olay Listesi'!$D$2:$D$65,"P3")</f>
        <v>2</v>
      </c>
      <c r="E20" s="16" t="n">
        <f aca="false">COUNTIFS('Olay Listesi'!$H$2:$H$65,"Sürüm/dağıtım hatası",'Olay Listesi'!$D$2:$D$65,"P4")</f>
        <v>1</v>
      </c>
      <c r="F20" s="33" t="n">
        <f aca="false">COUNTIF('Olay Listesi'!$H$2:$H$65,"Sürüm/dağıtım hatası")</f>
        <v>8</v>
      </c>
    </row>
    <row r="21" customFormat="false" ht="15" hidden="false" customHeight="false" outlineLevel="0" collapsed="false">
      <c r="A21" s="26" t="s">
        <v>63</v>
      </c>
      <c r="B21" s="16" t="n">
        <f aca="false">COUNTIFS('Olay Listesi'!$H$2:$H$65,"Ağ/altyapı",'Olay Listesi'!$D$2:$D$65,"P1")</f>
        <v>2</v>
      </c>
      <c r="C21" s="16" t="n">
        <f aca="false">COUNTIFS('Olay Listesi'!$H$2:$H$65,"Ağ/altyapı",'Olay Listesi'!$D$2:$D$65,"P2")</f>
        <v>2</v>
      </c>
      <c r="D21" s="16" t="n">
        <f aca="false">COUNTIFS('Olay Listesi'!$H$2:$H$65,"Ağ/altyapı",'Olay Listesi'!$D$2:$D$65,"P3")</f>
        <v>1</v>
      </c>
      <c r="E21" s="16" t="n">
        <f aca="false">COUNTIFS('Olay Listesi'!$H$2:$H$65,"Ağ/altyapı",'Olay Listesi'!$D$2:$D$65,"P4")</f>
        <v>2</v>
      </c>
      <c r="F21" s="33" t="n">
        <f aca="false">COUNTIF('Olay Listesi'!$H$2:$H$65,"Ağ/altyapı")</f>
        <v>7</v>
      </c>
    </row>
    <row r="22" customFormat="false" ht="15" hidden="false" customHeight="false" outlineLevel="0" collapsed="false">
      <c r="A22" s="34" t="s">
        <v>201</v>
      </c>
      <c r="B22" s="23" t="n">
        <f aca="false">COUNTIF('Olay Listesi'!$D$2:$D$65,"P1")</f>
        <v>15</v>
      </c>
      <c r="C22" s="23" t="n">
        <f aca="false">COUNTIF('Olay Listesi'!$D$2:$D$65,"P2")</f>
        <v>19</v>
      </c>
      <c r="D22" s="23" t="n">
        <f aca="false">COUNTIF('Olay Listesi'!$D$2:$D$65,"P3")</f>
        <v>18</v>
      </c>
      <c r="E22" s="23" t="n">
        <f aca="false">COUNTIF('Olay Listesi'!$D$2:$D$65,"P4")</f>
        <v>12</v>
      </c>
      <c r="F22" s="23" t="n">
        <f aca="false">COUNTA('Olay Listesi'!$A$2:$A$65)</f>
        <v>64</v>
      </c>
    </row>
    <row r="24" customFormat="false" ht="15" hidden="false" customHeight="false" outlineLevel="0" collapsed="false">
      <c r="A24" s="4" t="s">
        <v>203</v>
      </c>
      <c r="B24" s="4"/>
      <c r="C24" s="4"/>
      <c r="D24" s="4"/>
      <c r="E24" s="4"/>
      <c r="F24" s="4"/>
      <c r="G24" s="4"/>
      <c r="H24" s="4"/>
      <c r="I24" s="4"/>
    </row>
    <row r="25" customFormat="false" ht="26.85" hidden="false" customHeight="false" outlineLevel="0" collapsed="false">
      <c r="A25" s="14" t="s">
        <v>34</v>
      </c>
      <c r="B25" s="14" t="s">
        <v>196</v>
      </c>
      <c r="C25" s="14" t="s">
        <v>195</v>
      </c>
      <c r="D25" s="14" t="s">
        <v>199</v>
      </c>
      <c r="E25" s="14" t="s">
        <v>198</v>
      </c>
      <c r="F25" s="14" t="s">
        <v>191</v>
      </c>
      <c r="G25" s="14" t="s">
        <v>200</v>
      </c>
      <c r="H25" s="14" t="s">
        <v>197</v>
      </c>
      <c r="I25" s="14" t="s">
        <v>32</v>
      </c>
    </row>
    <row r="26" customFormat="false" ht="15" hidden="false" customHeight="false" outlineLevel="0" collapsed="false">
      <c r="A26" s="26" t="s">
        <v>37</v>
      </c>
      <c r="B26" s="16" t="n">
        <f aca="false">COUNTIFS('Olay Listesi'!$C$2:$C$65,"Bildirim Servisi",'Olay Listesi'!$N$2:$N$65,"Sürüm/Dağıtım")</f>
        <v>1</v>
      </c>
      <c r="C26" s="16" t="n">
        <f aca="false">COUNTIFS('Olay Listesi'!$C$2:$C$65,"Bildirim Servisi",'Olay Listesi'!$N$2:$N$65,"Konfigürasyon")</f>
        <v>1</v>
      </c>
      <c r="D26" s="16" t="n">
        <f aca="false">COUNTIFS('Olay Listesi'!$C$2:$C$65,"Bildirim Servisi",'Olay Listesi'!$N$2:$N$65,"Veritabanı")</f>
        <v>4</v>
      </c>
      <c r="E26" s="16" t="n">
        <f aca="false">COUNTIFS('Olay Listesi'!$C$2:$C$65,"Bildirim Servisi",'Olay Listesi'!$N$2:$N$65,"Kimlik/Sertifika")</f>
        <v>3</v>
      </c>
      <c r="F26" s="16" t="n">
        <f aca="false">COUNTIFS('Olay Listesi'!$C$2:$C$65,"Bildirim Servisi",'Olay Listesi'!$N$2:$N$65,"Altyapı/Ağ")</f>
        <v>1</v>
      </c>
      <c r="G26" s="16" t="n">
        <f aca="false">COUNTIFS('Olay Listesi'!$C$2:$C$65,"Bildirim Servisi",'Olay Listesi'!$N$2:$N$65,"Üçüncü Taraf")</f>
        <v>4</v>
      </c>
      <c r="H26" s="16" t="n">
        <f aca="false">COUNTIFS('Olay Listesi'!$C$2:$C$65,"Bildirim Servisi",'Olay Listesi'!$N$2:$N$65,"Kapasite")</f>
        <v>2</v>
      </c>
      <c r="I26" s="33" t="n">
        <f aca="false">COUNTIF('Olay Listesi'!$C$2:$C$65,"Bildirim Servisi")</f>
        <v>16</v>
      </c>
    </row>
    <row r="27" customFormat="false" ht="15" hidden="false" customHeight="false" outlineLevel="0" collapsed="false">
      <c r="A27" s="26" t="s">
        <v>38</v>
      </c>
      <c r="B27" s="16" t="n">
        <f aca="false">COUNTIFS('Olay Listesi'!$C$2:$C$65,"API Geçidi",'Olay Listesi'!$N$2:$N$65,"Sürüm/Dağıtım")</f>
        <v>3</v>
      </c>
      <c r="C27" s="16" t="n">
        <f aca="false">COUNTIFS('Olay Listesi'!$C$2:$C$65,"API Geçidi",'Olay Listesi'!$N$2:$N$65,"Konfigürasyon")</f>
        <v>3</v>
      </c>
      <c r="D27" s="16" t="n">
        <f aca="false">COUNTIFS('Olay Listesi'!$C$2:$C$65,"API Geçidi",'Olay Listesi'!$N$2:$N$65,"Veritabanı")</f>
        <v>2</v>
      </c>
      <c r="E27" s="16" t="n">
        <f aca="false">COUNTIFS('Olay Listesi'!$C$2:$C$65,"API Geçidi",'Olay Listesi'!$N$2:$N$65,"Kimlik/Sertifika")</f>
        <v>3</v>
      </c>
      <c r="F27" s="16" t="n">
        <f aca="false">COUNTIFS('Olay Listesi'!$C$2:$C$65,"API Geçidi",'Olay Listesi'!$N$2:$N$65,"Altyapı/Ağ")</f>
        <v>0</v>
      </c>
      <c r="G27" s="16" t="n">
        <f aca="false">COUNTIFS('Olay Listesi'!$C$2:$C$65,"API Geçidi",'Olay Listesi'!$N$2:$N$65,"Üçüncü Taraf")</f>
        <v>1</v>
      </c>
      <c r="H27" s="16" t="n">
        <f aca="false">COUNTIFS('Olay Listesi'!$C$2:$C$65,"API Geçidi",'Olay Listesi'!$N$2:$N$65,"Kapasite")</f>
        <v>0</v>
      </c>
      <c r="I27" s="33" t="n">
        <f aca="false">COUNTIF('Olay Listesi'!$C$2:$C$65,"API Geçidi")</f>
        <v>12</v>
      </c>
    </row>
    <row r="28" customFormat="false" ht="15" hidden="false" customHeight="false" outlineLevel="0" collapsed="false">
      <c r="A28" s="26" t="s">
        <v>39</v>
      </c>
      <c r="B28" s="16" t="n">
        <f aca="false">COUNTIFS('Olay Listesi'!$C$2:$C$65,"Çekirdek Bankacılık",'Olay Listesi'!$N$2:$N$65,"Sürüm/Dağıtım")</f>
        <v>1</v>
      </c>
      <c r="C28" s="16" t="n">
        <f aca="false">COUNTIFS('Olay Listesi'!$C$2:$C$65,"Çekirdek Bankacılık",'Olay Listesi'!$N$2:$N$65,"Konfigürasyon")</f>
        <v>0</v>
      </c>
      <c r="D28" s="16" t="n">
        <f aca="false">COUNTIFS('Olay Listesi'!$C$2:$C$65,"Çekirdek Bankacılık",'Olay Listesi'!$N$2:$N$65,"Veritabanı")</f>
        <v>1</v>
      </c>
      <c r="E28" s="16" t="n">
        <f aca="false">COUNTIFS('Olay Listesi'!$C$2:$C$65,"Çekirdek Bankacılık",'Olay Listesi'!$N$2:$N$65,"Kimlik/Sertifika")</f>
        <v>4</v>
      </c>
      <c r="F28" s="16" t="n">
        <f aca="false">COUNTIFS('Olay Listesi'!$C$2:$C$65,"Çekirdek Bankacılık",'Olay Listesi'!$N$2:$N$65,"Altyapı/Ağ")</f>
        <v>3</v>
      </c>
      <c r="G28" s="16" t="n">
        <f aca="false">COUNTIFS('Olay Listesi'!$C$2:$C$65,"Çekirdek Bankacılık",'Olay Listesi'!$N$2:$N$65,"Üçüncü Taraf")</f>
        <v>0</v>
      </c>
      <c r="H28" s="16" t="n">
        <f aca="false">COUNTIFS('Olay Listesi'!$C$2:$C$65,"Çekirdek Bankacılık",'Olay Listesi'!$N$2:$N$65,"Kapasite")</f>
        <v>3</v>
      </c>
      <c r="I28" s="33" t="n">
        <f aca="false">COUNTIF('Olay Listesi'!$C$2:$C$65,"Çekirdek Bankacılık")</f>
        <v>12</v>
      </c>
    </row>
    <row r="29" customFormat="false" ht="15" hidden="false" customHeight="false" outlineLevel="0" collapsed="false">
      <c r="A29" s="26" t="s">
        <v>40</v>
      </c>
      <c r="B29" s="16" t="n">
        <f aca="false">COUNTIFS('Olay Listesi'!$C$2:$C$65,"Ödeme Servisi",'Olay Listesi'!$N$2:$N$65,"Sürüm/Dağıtım")</f>
        <v>0</v>
      </c>
      <c r="C29" s="16" t="n">
        <f aca="false">COUNTIFS('Olay Listesi'!$C$2:$C$65,"Ödeme Servisi",'Olay Listesi'!$N$2:$N$65,"Konfigürasyon")</f>
        <v>1</v>
      </c>
      <c r="D29" s="16" t="n">
        <f aca="false">COUNTIFS('Olay Listesi'!$C$2:$C$65,"Ödeme Servisi",'Olay Listesi'!$N$2:$N$65,"Veritabanı")</f>
        <v>2</v>
      </c>
      <c r="E29" s="16" t="n">
        <f aca="false">COUNTIFS('Olay Listesi'!$C$2:$C$65,"Ödeme Servisi",'Olay Listesi'!$N$2:$N$65,"Kimlik/Sertifika")</f>
        <v>0</v>
      </c>
      <c r="F29" s="16" t="n">
        <f aca="false">COUNTIFS('Olay Listesi'!$C$2:$C$65,"Ödeme Servisi",'Olay Listesi'!$N$2:$N$65,"Altyapı/Ağ")</f>
        <v>3</v>
      </c>
      <c r="G29" s="16" t="n">
        <f aca="false">COUNTIFS('Olay Listesi'!$C$2:$C$65,"Ödeme Servisi",'Olay Listesi'!$N$2:$N$65,"Üçüncü Taraf")</f>
        <v>2</v>
      </c>
      <c r="H29" s="16" t="n">
        <f aca="false">COUNTIFS('Olay Listesi'!$C$2:$C$65,"Ödeme Servisi",'Olay Listesi'!$N$2:$N$65,"Kapasite")</f>
        <v>2</v>
      </c>
      <c r="I29" s="33" t="n">
        <f aca="false">COUNTIF('Olay Listesi'!$C$2:$C$65,"Ödeme Servisi")</f>
        <v>10</v>
      </c>
    </row>
    <row r="30" customFormat="false" ht="15" hidden="false" customHeight="false" outlineLevel="0" collapsed="false">
      <c r="A30" s="26" t="s">
        <v>41</v>
      </c>
      <c r="B30" s="16" t="n">
        <f aca="false">COUNTIFS('Olay Listesi'!$C$2:$C$65,"Mobil Uygulama",'Olay Listesi'!$N$2:$N$65,"Sürüm/Dağıtım")</f>
        <v>1</v>
      </c>
      <c r="C30" s="16" t="n">
        <f aca="false">COUNTIFS('Olay Listesi'!$C$2:$C$65,"Mobil Uygulama",'Olay Listesi'!$N$2:$N$65,"Konfigürasyon")</f>
        <v>2</v>
      </c>
      <c r="D30" s="16" t="n">
        <f aca="false">COUNTIFS('Olay Listesi'!$C$2:$C$65,"Mobil Uygulama",'Olay Listesi'!$N$2:$N$65,"Veritabanı")</f>
        <v>3</v>
      </c>
      <c r="E30" s="16" t="n">
        <f aca="false">COUNTIFS('Olay Listesi'!$C$2:$C$65,"Mobil Uygulama",'Olay Listesi'!$N$2:$N$65,"Kimlik/Sertifika")</f>
        <v>0</v>
      </c>
      <c r="F30" s="16" t="n">
        <f aca="false">COUNTIFS('Olay Listesi'!$C$2:$C$65,"Mobil Uygulama",'Olay Listesi'!$N$2:$N$65,"Altyapı/Ağ")</f>
        <v>0</v>
      </c>
      <c r="G30" s="16" t="n">
        <f aca="false">COUNTIFS('Olay Listesi'!$C$2:$C$65,"Mobil Uygulama",'Olay Listesi'!$N$2:$N$65,"Üçüncü Taraf")</f>
        <v>0</v>
      </c>
      <c r="H30" s="16" t="n">
        <f aca="false">COUNTIFS('Olay Listesi'!$C$2:$C$65,"Mobil Uygulama",'Olay Listesi'!$N$2:$N$65,"Kapasite")</f>
        <v>2</v>
      </c>
      <c r="I30" s="33" t="n">
        <f aca="false">COUNTIF('Olay Listesi'!$C$2:$C$65,"Mobil Uygulama")</f>
        <v>8</v>
      </c>
    </row>
    <row r="31" customFormat="false" ht="15" hidden="false" customHeight="false" outlineLevel="0" collapsed="false">
      <c r="A31" s="26" t="s">
        <v>42</v>
      </c>
      <c r="B31" s="16" t="n">
        <f aca="false">COUNTIFS('Olay Listesi'!$C$2:$C$65,"İnternet Şubesi",'Olay Listesi'!$N$2:$N$65,"Sürüm/Dağıtım")</f>
        <v>2</v>
      </c>
      <c r="C31" s="16" t="n">
        <f aca="false">COUNTIFS('Olay Listesi'!$C$2:$C$65,"İnternet Şubesi",'Olay Listesi'!$N$2:$N$65,"Konfigürasyon")</f>
        <v>1</v>
      </c>
      <c r="D31" s="16" t="n">
        <f aca="false">COUNTIFS('Olay Listesi'!$C$2:$C$65,"İnternet Şubesi",'Olay Listesi'!$N$2:$N$65,"Veritabanı")</f>
        <v>1</v>
      </c>
      <c r="E31" s="16" t="n">
        <f aca="false">COUNTIFS('Olay Listesi'!$C$2:$C$65,"İnternet Şubesi",'Olay Listesi'!$N$2:$N$65,"Kimlik/Sertifika")</f>
        <v>0</v>
      </c>
      <c r="F31" s="16" t="n">
        <f aca="false">COUNTIFS('Olay Listesi'!$C$2:$C$65,"İnternet Şubesi",'Olay Listesi'!$N$2:$N$65,"Altyapı/Ağ")</f>
        <v>0</v>
      </c>
      <c r="G31" s="16" t="n">
        <f aca="false">COUNTIFS('Olay Listesi'!$C$2:$C$65,"İnternet Şubesi",'Olay Listesi'!$N$2:$N$65,"Üçüncü Taraf")</f>
        <v>2</v>
      </c>
      <c r="H31" s="16" t="n">
        <f aca="false">COUNTIFS('Olay Listesi'!$C$2:$C$65,"İnternet Şubesi",'Olay Listesi'!$N$2:$N$65,"Kapasite")</f>
        <v>0</v>
      </c>
      <c r="I31" s="33" t="n">
        <f aca="false">COUNTIF('Olay Listesi'!$C$2:$C$65,"İnternet Şubesi")</f>
        <v>6</v>
      </c>
    </row>
    <row r="32" customFormat="false" ht="15" hidden="false" customHeight="false" outlineLevel="0" collapsed="false">
      <c r="A32" s="34" t="s">
        <v>32</v>
      </c>
      <c r="B32" s="23" t="n">
        <f aca="false">COUNTIF('Olay Listesi'!$N$2:$N$65,"Sürüm/Dağıtım")</f>
        <v>8</v>
      </c>
      <c r="C32" s="23" t="n">
        <f aca="false">COUNTIF('Olay Listesi'!$N$2:$N$65,"Konfigürasyon")</f>
        <v>8</v>
      </c>
      <c r="D32" s="23" t="n">
        <f aca="false">COUNTIF('Olay Listesi'!$N$2:$N$65,"Veritabanı")</f>
        <v>13</v>
      </c>
      <c r="E32" s="23" t="n">
        <f aca="false">COUNTIF('Olay Listesi'!$N$2:$N$65,"Kimlik/Sertifika")</f>
        <v>10</v>
      </c>
      <c r="F32" s="23" t="n">
        <f aca="false">COUNTIF('Olay Listesi'!$N$2:$N$65,"Altyapı/Ağ")</f>
        <v>7</v>
      </c>
      <c r="G32" s="23" t="n">
        <f aca="false">COUNTIF('Olay Listesi'!$N$2:$N$65,"Üçüncü Taraf")</f>
        <v>9</v>
      </c>
      <c r="H32" s="23" t="n">
        <f aca="false">COUNTIF('Olay Listesi'!$N$2:$N$65,"Kapasite")</f>
        <v>9</v>
      </c>
      <c r="I32" s="23" t="n">
        <f aca="false">COUNTA('Olay Listesi'!$A$2:$A$65)</f>
        <v>64</v>
      </c>
    </row>
  </sheetData>
  <mergeCells count="4">
    <mergeCell ref="A1:I1"/>
    <mergeCell ref="A2:G2"/>
    <mergeCell ref="A13:G13"/>
    <mergeCell ref="A24:I24"/>
  </mergeCells>
  <conditionalFormatting sqref="E4:E10">
    <cfRule type="colorScale" priority="2">
      <colorScale>
        <cfvo type="num" val="0"/>
        <cfvo type="num" val="0.5"/>
        <cfvo type="num" val="1"/>
        <color rgb="FFC6EFCE"/>
        <color rgb="FFFFEB9C"/>
        <color rgb="FFF8696B"/>
      </colorScale>
    </cfRule>
  </conditionalFormatting>
  <conditionalFormatting sqref="B4:B10">
    <cfRule type="dataBar" priority="3">
      <dataBar showValue="1" minLength="10" maxLength="90">
        <cfvo type="num" val="0"/>
        <cfvo type="max" val="0"/>
        <color rgb="FF2E75B6"/>
      </dataBar>
      <extLst>
        <ext xmlns:x14="http://schemas.microsoft.com/office/spreadsheetml/2009/9/main" uri="{B025F937-C7B1-47D3-B67F-A62EFF666E3E}">
          <x14:id>{A200DAF7-7544-4A32-86EF-7B21ACAE9092}</x14:id>
        </ext>
      </extLst>
    </cfRule>
  </conditionalFormatting>
  <conditionalFormatting sqref="B15:E21">
    <cfRule type="colorScale" priority="4">
      <colorScale>
        <cfvo type="min" val="0"/>
        <cfvo type="max" val="0"/>
        <color rgb="FFFFFFFF"/>
        <color rgb="FF2E75B6"/>
      </colorScale>
    </cfRule>
  </conditionalFormatting>
  <conditionalFormatting sqref="B26:H31">
    <cfRule type="colorScale" priority="5">
      <colorScale>
        <cfvo type="min" val="0"/>
        <cfvo type="max" val="0"/>
        <color rgb="FFFFFFFF"/>
        <color rgb="FFED7D31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200DAF7-7544-4A32-86EF-7B21ACAE9092}">
            <x14:dataBar minLength="10" maxLength="90" axisPosition="none" gradient="true">
              <x14:cfvo type="num">
                <xm:f>0</xm:f>
              </x14:cfvo>
              <x14:cfvo type="max"/>
              <x14:negativeFillColor rgb="FF2E75B6"/>
              <x14:axisColor rgb="FF000000"/>
            </x14:dataBar>
          </x14:cfRule>
          <xm:sqref>B4:B10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3" min="3" style="0" width="11"/>
    <col collapsed="false" customWidth="true" hidden="false" outlineLevel="0" max="5" min="4" style="0" width="9"/>
    <col collapsed="false" customWidth="true" hidden="false" outlineLevel="0" max="6" min="6" style="0" width="12"/>
    <col collapsed="false" customWidth="true" hidden="false" outlineLevel="0" max="7" min="7" style="0" width="18"/>
    <col collapsed="false" customWidth="true" hidden="false" outlineLevel="0" max="8" min="8" style="0" width="20"/>
    <col collapsed="false" customWidth="true" hidden="false" outlineLevel="0" max="9" min="9" style="0" width="15"/>
    <col collapsed="false" customWidth="true" hidden="false" outlineLevel="0" max="10" min="10" style="0" width="24"/>
    <col collapsed="false" customWidth="true" hidden="false" outlineLevel="0" max="11" min="11" style="0" width="22"/>
  </cols>
  <sheetData>
    <row r="1" customFormat="false" ht="17.35" hidden="false" customHeight="false" outlineLevel="0" collapsed="false">
      <c r="A1" s="1" t="s">
        <v>204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customFormat="false" ht="15" hidden="false" customHeight="false" outlineLevel="0" collapsed="false">
      <c r="A3" s="4" t="s">
        <v>205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customFormat="false" ht="26.85" hidden="false" customHeight="false" outlineLevel="0" collapsed="false">
      <c r="A4" s="14" t="s">
        <v>206</v>
      </c>
      <c r="B4" s="14" t="s">
        <v>44</v>
      </c>
      <c r="C4" s="14" t="s">
        <v>34</v>
      </c>
      <c r="D4" s="14" t="s">
        <v>207</v>
      </c>
      <c r="E4" s="14" t="s">
        <v>208</v>
      </c>
      <c r="F4" s="14" t="s">
        <v>209</v>
      </c>
      <c r="G4" s="14" t="s">
        <v>210</v>
      </c>
      <c r="H4" s="14" t="s">
        <v>211</v>
      </c>
      <c r="I4" s="14" t="s">
        <v>212</v>
      </c>
      <c r="J4" s="14" t="s">
        <v>213</v>
      </c>
      <c r="K4" s="14" t="s">
        <v>214</v>
      </c>
    </row>
    <row r="5" customFormat="false" ht="26.85" hidden="false" customHeight="false" outlineLevel="0" collapsed="false">
      <c r="A5" s="16" t="s">
        <v>215</v>
      </c>
      <c r="B5" s="35" t="n">
        <v>46205</v>
      </c>
      <c r="C5" s="26" t="s">
        <v>40</v>
      </c>
      <c r="D5" s="16" t="s">
        <v>216</v>
      </c>
      <c r="E5" s="16" t="s">
        <v>217</v>
      </c>
      <c r="F5" s="16" t="s">
        <v>218</v>
      </c>
      <c r="G5" s="16"/>
      <c r="H5" s="16" t="str">
        <f aca="false">IF($G5="","",IFERROR(INDEX('Olay Listesi'!$C$2:$C$65,MATCH($G5,'Olay Listesi'!$A$2:$A$65,0)),"Bulunamadı"))</f>
        <v/>
      </c>
      <c r="I5" s="16" t="str">
        <f aca="false">IF($G5="","",IFERROR(INDEX('Olay Listesi'!$D$2:$D$65,MATCH($G5,'Olay Listesi'!$A$2:$A$65,0)),"Bulunamadı"))</f>
        <v/>
      </c>
      <c r="J5" s="16" t="str">
        <f aca="false">IF($G5="","",IFERROR(INDEX('Olay Listesi'!$H$2:$H$65,MATCH($G5,'Olay Listesi'!$A$2:$A$65,0)),"Bulunamadı"))</f>
        <v/>
      </c>
      <c r="K5" s="16" t="str">
        <f aca="false">IF($G5="","",IF($H5&lt;&gt;$C5,"Farklı hizmette olay!",IF($F5="Geri alındı","Geri alınan değişiklik","")))</f>
        <v/>
      </c>
    </row>
    <row r="6" customFormat="false" ht="26.85" hidden="false" customHeight="false" outlineLevel="0" collapsed="false">
      <c r="A6" s="16" t="s">
        <v>219</v>
      </c>
      <c r="B6" s="35" t="n">
        <v>46204</v>
      </c>
      <c r="C6" s="26" t="s">
        <v>41</v>
      </c>
      <c r="D6" s="16" t="s">
        <v>220</v>
      </c>
      <c r="E6" s="16" t="s">
        <v>221</v>
      </c>
      <c r="F6" s="16" t="s">
        <v>218</v>
      </c>
      <c r="G6" s="16"/>
      <c r="H6" s="16" t="str">
        <f aca="false">IF($G6="","",IFERROR(INDEX('Olay Listesi'!$C$2:$C$65,MATCH($G6,'Olay Listesi'!$A$2:$A$65,0)),"Bulunamadı"))</f>
        <v/>
      </c>
      <c r="I6" s="16" t="str">
        <f aca="false">IF($G6="","",IFERROR(INDEX('Olay Listesi'!$D$2:$D$65,MATCH($G6,'Olay Listesi'!$A$2:$A$65,0)),"Bulunamadı"))</f>
        <v/>
      </c>
      <c r="J6" s="16" t="str">
        <f aca="false">IF($G6="","",IFERROR(INDEX('Olay Listesi'!$H$2:$H$65,MATCH($G6,'Olay Listesi'!$A$2:$A$65,0)),"Bulunamadı"))</f>
        <v/>
      </c>
      <c r="K6" s="16" t="str">
        <f aca="false">IF($G6="","",IF($H6&lt;&gt;$C6,"Farklı hizmette olay!",IF($F6="Geri alındı","Geri alınan değişiklik","")))</f>
        <v/>
      </c>
    </row>
    <row r="7" customFormat="false" ht="26.85" hidden="false" customHeight="false" outlineLevel="0" collapsed="false">
      <c r="A7" s="16" t="s">
        <v>222</v>
      </c>
      <c r="B7" s="35" t="n">
        <v>46208</v>
      </c>
      <c r="C7" s="26" t="s">
        <v>41</v>
      </c>
      <c r="D7" s="16" t="s">
        <v>223</v>
      </c>
      <c r="E7" s="16" t="s">
        <v>217</v>
      </c>
      <c r="F7" s="16" t="s">
        <v>218</v>
      </c>
      <c r="G7" s="16"/>
      <c r="H7" s="16" t="str">
        <f aca="false">IF($G7="","",IFERROR(INDEX('Olay Listesi'!$C$2:$C$65,MATCH($G7,'Olay Listesi'!$A$2:$A$65,0)),"Bulunamadı"))</f>
        <v/>
      </c>
      <c r="I7" s="16" t="str">
        <f aca="false">IF($G7="","",IFERROR(INDEX('Olay Listesi'!$D$2:$D$65,MATCH($G7,'Olay Listesi'!$A$2:$A$65,0)),"Bulunamadı"))</f>
        <v/>
      </c>
      <c r="J7" s="16" t="str">
        <f aca="false">IF($G7="","",IFERROR(INDEX('Olay Listesi'!$H$2:$H$65,MATCH($G7,'Olay Listesi'!$A$2:$A$65,0)),"Bulunamadı"))</f>
        <v/>
      </c>
      <c r="K7" s="16" t="str">
        <f aca="false">IF($G7="","",IF($H7&lt;&gt;$C7,"Farklı hizmette olay!",IF($F7="Geri alındı","Geri alınan değişiklik","")))</f>
        <v/>
      </c>
    </row>
    <row r="8" customFormat="false" ht="15" hidden="false" customHeight="false" outlineLevel="0" collapsed="false">
      <c r="A8" s="16" t="s">
        <v>224</v>
      </c>
      <c r="B8" s="35" t="n">
        <v>46204</v>
      </c>
      <c r="C8" s="26" t="s">
        <v>38</v>
      </c>
      <c r="D8" s="16" t="s">
        <v>216</v>
      </c>
      <c r="E8" s="16" t="s">
        <v>225</v>
      </c>
      <c r="F8" s="16" t="s">
        <v>218</v>
      </c>
      <c r="G8" s="16"/>
      <c r="H8" s="16" t="str">
        <f aca="false">IF($G8="","",IFERROR(INDEX('Olay Listesi'!$C$2:$C$65,MATCH($G8,'Olay Listesi'!$A$2:$A$65,0)),"Bulunamadı"))</f>
        <v/>
      </c>
      <c r="I8" s="16" t="str">
        <f aca="false">IF($G8="","",IFERROR(INDEX('Olay Listesi'!$D$2:$D$65,MATCH($G8,'Olay Listesi'!$A$2:$A$65,0)),"Bulunamadı"))</f>
        <v/>
      </c>
      <c r="J8" s="16" t="str">
        <f aca="false">IF($G8="","",IFERROR(INDEX('Olay Listesi'!$H$2:$H$65,MATCH($G8,'Olay Listesi'!$A$2:$A$65,0)),"Bulunamadı"))</f>
        <v/>
      </c>
      <c r="K8" s="16" t="str">
        <f aca="false">IF($G8="","",IF($H8&lt;&gt;$C8,"Farklı hizmette olay!",IF($F8="Geri alındı","Geri alınan değişiklik","")))</f>
        <v/>
      </c>
    </row>
    <row r="9" customFormat="false" ht="15" hidden="false" customHeight="false" outlineLevel="0" collapsed="false">
      <c r="A9" s="16" t="s">
        <v>226</v>
      </c>
      <c r="B9" s="35" t="n">
        <v>46206</v>
      </c>
      <c r="C9" s="26" t="s">
        <v>38</v>
      </c>
      <c r="D9" s="16" t="s">
        <v>223</v>
      </c>
      <c r="E9" s="16" t="s">
        <v>225</v>
      </c>
      <c r="F9" s="16" t="s">
        <v>218</v>
      </c>
      <c r="G9" s="16"/>
      <c r="H9" s="16" t="str">
        <f aca="false">IF($G9="","",IFERROR(INDEX('Olay Listesi'!$C$2:$C$65,MATCH($G9,'Olay Listesi'!$A$2:$A$65,0)),"Bulunamadı"))</f>
        <v/>
      </c>
      <c r="I9" s="16" t="str">
        <f aca="false">IF($G9="","",IFERROR(INDEX('Olay Listesi'!$D$2:$D$65,MATCH($G9,'Olay Listesi'!$A$2:$A$65,0)),"Bulunamadı"))</f>
        <v/>
      </c>
      <c r="J9" s="16" t="str">
        <f aca="false">IF($G9="","",IFERROR(INDEX('Olay Listesi'!$H$2:$H$65,MATCH($G9,'Olay Listesi'!$A$2:$A$65,0)),"Bulunamadı"))</f>
        <v/>
      </c>
      <c r="K9" s="16" t="str">
        <f aca="false">IF($G9="","",IF($H9&lt;&gt;$C9,"Farklı hizmette olay!",IF($F9="Geri alındı","Geri alınan değişiklik","")))</f>
        <v/>
      </c>
    </row>
    <row r="10" customFormat="false" ht="26.85" hidden="false" customHeight="false" outlineLevel="0" collapsed="false">
      <c r="A10" s="16" t="s">
        <v>227</v>
      </c>
      <c r="B10" s="35" t="n">
        <v>46204</v>
      </c>
      <c r="C10" s="26" t="s">
        <v>39</v>
      </c>
      <c r="D10" s="16" t="s">
        <v>216</v>
      </c>
      <c r="E10" s="16" t="s">
        <v>225</v>
      </c>
      <c r="F10" s="16" t="s">
        <v>218</v>
      </c>
      <c r="G10" s="16"/>
      <c r="H10" s="16" t="str">
        <f aca="false">IF($G10="","",IFERROR(INDEX('Olay Listesi'!$C$2:$C$65,MATCH($G10,'Olay Listesi'!$A$2:$A$65,0)),"Bulunamadı"))</f>
        <v/>
      </c>
      <c r="I10" s="16" t="str">
        <f aca="false">IF($G10="","",IFERROR(INDEX('Olay Listesi'!$D$2:$D$65,MATCH($G10,'Olay Listesi'!$A$2:$A$65,0)),"Bulunamadı"))</f>
        <v/>
      </c>
      <c r="J10" s="16" t="str">
        <f aca="false">IF($G10="","",IFERROR(INDEX('Olay Listesi'!$H$2:$H$65,MATCH($G10,'Olay Listesi'!$A$2:$A$65,0)),"Bulunamadı"))</f>
        <v/>
      </c>
      <c r="K10" s="16" t="str">
        <f aca="false">IF($G10="","",IF($H10&lt;&gt;$C10,"Farklı hizmette olay!",IF($F10="Geri alındı","Geri alınan değişiklik","")))</f>
        <v/>
      </c>
    </row>
    <row r="11" customFormat="false" ht="26.85" hidden="false" customHeight="false" outlineLevel="0" collapsed="false">
      <c r="A11" s="16" t="s">
        <v>228</v>
      </c>
      <c r="B11" s="35" t="n">
        <v>46204</v>
      </c>
      <c r="C11" s="26" t="s">
        <v>41</v>
      </c>
      <c r="D11" s="16" t="s">
        <v>216</v>
      </c>
      <c r="E11" s="16" t="s">
        <v>221</v>
      </c>
      <c r="F11" s="16" t="s">
        <v>218</v>
      </c>
      <c r="G11" s="16"/>
      <c r="H11" s="16" t="str">
        <f aca="false">IF($G11="","",IFERROR(INDEX('Olay Listesi'!$C$2:$C$65,MATCH($G11,'Olay Listesi'!$A$2:$A$65,0)),"Bulunamadı"))</f>
        <v/>
      </c>
      <c r="I11" s="16" t="str">
        <f aca="false">IF($G11="","",IFERROR(INDEX('Olay Listesi'!$D$2:$D$65,MATCH($G11,'Olay Listesi'!$A$2:$A$65,0)),"Bulunamadı"))</f>
        <v/>
      </c>
      <c r="J11" s="16" t="str">
        <f aca="false">IF($G11="","",IFERROR(INDEX('Olay Listesi'!$H$2:$H$65,MATCH($G11,'Olay Listesi'!$A$2:$A$65,0)),"Bulunamadı"))</f>
        <v/>
      </c>
      <c r="K11" s="16" t="str">
        <f aca="false">IF($G11="","",IF($H11&lt;&gt;$C11,"Farklı hizmette olay!",IF($F11="Geri alındı","Geri alınan değişiklik","")))</f>
        <v/>
      </c>
    </row>
    <row r="12" customFormat="false" ht="26.85" hidden="false" customHeight="false" outlineLevel="0" collapsed="false">
      <c r="A12" s="16" t="s">
        <v>229</v>
      </c>
      <c r="B12" s="35" t="n">
        <v>46208</v>
      </c>
      <c r="C12" s="26" t="s">
        <v>37</v>
      </c>
      <c r="D12" s="16" t="s">
        <v>223</v>
      </c>
      <c r="E12" s="16" t="s">
        <v>217</v>
      </c>
      <c r="F12" s="16" t="s">
        <v>218</v>
      </c>
      <c r="G12" s="16"/>
      <c r="H12" s="16" t="str">
        <f aca="false">IF($G12="","",IFERROR(INDEX('Olay Listesi'!$C$2:$C$65,MATCH($G12,'Olay Listesi'!$A$2:$A$65,0)),"Bulunamadı"))</f>
        <v/>
      </c>
      <c r="I12" s="16" t="str">
        <f aca="false">IF($G12="","",IFERROR(INDEX('Olay Listesi'!$D$2:$D$65,MATCH($G12,'Olay Listesi'!$A$2:$A$65,0)),"Bulunamadı"))</f>
        <v/>
      </c>
      <c r="J12" s="16" t="str">
        <f aca="false">IF($G12="","",IFERROR(INDEX('Olay Listesi'!$H$2:$H$65,MATCH($G12,'Olay Listesi'!$A$2:$A$65,0)),"Bulunamadı"))</f>
        <v/>
      </c>
      <c r="K12" s="16" t="str">
        <f aca="false">IF($G12="","",IF($H12&lt;&gt;$C12,"Farklı hizmette olay!",IF($F12="Geri alındı","Geri alınan değişiklik","")))</f>
        <v/>
      </c>
    </row>
    <row r="13" customFormat="false" ht="26.85" hidden="false" customHeight="false" outlineLevel="0" collapsed="false">
      <c r="A13" s="16" t="s">
        <v>230</v>
      </c>
      <c r="B13" s="35" t="n">
        <v>46206</v>
      </c>
      <c r="C13" s="26" t="s">
        <v>40</v>
      </c>
      <c r="D13" s="16" t="s">
        <v>223</v>
      </c>
      <c r="E13" s="16" t="s">
        <v>217</v>
      </c>
      <c r="F13" s="16" t="s">
        <v>218</v>
      </c>
      <c r="G13" s="16"/>
      <c r="H13" s="16" t="str">
        <f aca="false">IF($G13="","",IFERROR(INDEX('Olay Listesi'!$C$2:$C$65,MATCH($G13,'Olay Listesi'!$A$2:$A$65,0)),"Bulunamadı"))</f>
        <v/>
      </c>
      <c r="I13" s="16" t="str">
        <f aca="false">IF($G13="","",IFERROR(INDEX('Olay Listesi'!$D$2:$D$65,MATCH($G13,'Olay Listesi'!$A$2:$A$65,0)),"Bulunamadı"))</f>
        <v/>
      </c>
      <c r="J13" s="16" t="str">
        <f aca="false">IF($G13="","",IFERROR(INDEX('Olay Listesi'!$H$2:$H$65,MATCH($G13,'Olay Listesi'!$A$2:$A$65,0)),"Bulunamadı"))</f>
        <v/>
      </c>
      <c r="K13" s="16" t="str">
        <f aca="false">IF($G13="","",IF($H13&lt;&gt;$C13,"Farklı hizmette olay!",IF($F13="Geri alındı","Geri alınan değişiklik","")))</f>
        <v/>
      </c>
    </row>
    <row r="14" customFormat="false" ht="26.85" hidden="false" customHeight="false" outlineLevel="0" collapsed="false">
      <c r="A14" s="16" t="s">
        <v>231</v>
      </c>
      <c r="B14" s="35" t="n">
        <v>46208</v>
      </c>
      <c r="C14" s="26" t="s">
        <v>40</v>
      </c>
      <c r="D14" s="16" t="s">
        <v>220</v>
      </c>
      <c r="E14" s="16" t="s">
        <v>221</v>
      </c>
      <c r="F14" s="16" t="s">
        <v>218</v>
      </c>
      <c r="G14" s="16"/>
      <c r="H14" s="16" t="str">
        <f aca="false">IF($G14="","",IFERROR(INDEX('Olay Listesi'!$C$2:$C$65,MATCH($G14,'Olay Listesi'!$A$2:$A$65,0)),"Bulunamadı"))</f>
        <v/>
      </c>
      <c r="I14" s="16" t="str">
        <f aca="false">IF($G14="","",IFERROR(INDEX('Olay Listesi'!$D$2:$D$65,MATCH($G14,'Olay Listesi'!$A$2:$A$65,0)),"Bulunamadı"))</f>
        <v/>
      </c>
      <c r="J14" s="16" t="str">
        <f aca="false">IF($G14="","",IFERROR(INDEX('Olay Listesi'!$H$2:$H$65,MATCH($G14,'Olay Listesi'!$A$2:$A$65,0)),"Bulunamadı"))</f>
        <v/>
      </c>
      <c r="K14" s="16" t="str">
        <f aca="false">IF($G14="","",IF($H14&lt;&gt;$C14,"Farklı hizmette olay!",IF($F14="Geri alındı","Geri alınan değişiklik","")))</f>
        <v/>
      </c>
    </row>
    <row r="15" customFormat="false" ht="26.85" hidden="false" customHeight="false" outlineLevel="0" collapsed="false">
      <c r="A15" s="16" t="s">
        <v>232</v>
      </c>
      <c r="B15" s="35" t="n">
        <v>46207</v>
      </c>
      <c r="C15" s="26" t="s">
        <v>37</v>
      </c>
      <c r="D15" s="16" t="s">
        <v>223</v>
      </c>
      <c r="E15" s="16" t="s">
        <v>225</v>
      </c>
      <c r="F15" s="16" t="s">
        <v>233</v>
      </c>
      <c r="G15" s="16" t="s">
        <v>173</v>
      </c>
      <c r="H15" s="16" t="str">
        <f aca="false">IF($G15="","",IFERROR(INDEX('Olay Listesi'!$C$2:$C$65,MATCH($G15,'Olay Listesi'!$A$2:$A$65,0)),"Bulunamadı"))</f>
        <v>Bildirim Servisi</v>
      </c>
      <c r="I15" s="16" t="str">
        <f aca="false">IF($G15="","",IFERROR(INDEX('Olay Listesi'!$D$2:$D$65,MATCH($G15,'Olay Listesi'!$A$2:$A$65,0)),"Bulunamadı"))</f>
        <v>P3</v>
      </c>
      <c r="J15" s="16" t="str">
        <f aca="false">IF($G15="","",IFERROR(INDEX('Olay Listesi'!$H$2:$H$65,MATCH($G15,'Olay Listesi'!$A$2:$A$65,0)),"Bulunamadı"))</f>
        <v>Sertifika/kimlik doğrulama</v>
      </c>
      <c r="K15" s="16" t="str">
        <f aca="false">IF($G15="","",IF($H15&lt;&gt;$C15,"Farklı hizmette olay!",IF($F15="Geri alındı","Geri alınan değişiklik","")))</f>
        <v>Geri alınan değişiklik</v>
      </c>
    </row>
    <row r="16" customFormat="false" ht="26.85" hidden="false" customHeight="false" outlineLevel="0" collapsed="false">
      <c r="A16" s="16" t="s">
        <v>234</v>
      </c>
      <c r="B16" s="35" t="n">
        <v>46205</v>
      </c>
      <c r="C16" s="26" t="s">
        <v>37</v>
      </c>
      <c r="D16" s="16" t="s">
        <v>220</v>
      </c>
      <c r="E16" s="16" t="s">
        <v>221</v>
      </c>
      <c r="F16" s="16" t="s">
        <v>218</v>
      </c>
      <c r="G16" s="16"/>
      <c r="H16" s="16" t="str">
        <f aca="false">IF($G16="","",IFERROR(INDEX('Olay Listesi'!$C$2:$C$65,MATCH($G16,'Olay Listesi'!$A$2:$A$65,0)),"Bulunamadı"))</f>
        <v/>
      </c>
      <c r="I16" s="16" t="str">
        <f aca="false">IF($G16="","",IFERROR(INDEX('Olay Listesi'!$D$2:$D$65,MATCH($G16,'Olay Listesi'!$A$2:$A$65,0)),"Bulunamadı"))</f>
        <v/>
      </c>
      <c r="J16" s="16" t="str">
        <f aca="false">IF($G16="","",IFERROR(INDEX('Olay Listesi'!$H$2:$H$65,MATCH($G16,'Olay Listesi'!$A$2:$A$65,0)),"Bulunamadı"))</f>
        <v/>
      </c>
      <c r="K16" s="16" t="str">
        <f aca="false">IF($G16="","",IF($H16&lt;&gt;$C16,"Farklı hizmette olay!",IF($F16="Geri alındı","Geri alınan değişiklik","")))</f>
        <v/>
      </c>
    </row>
    <row r="17" customFormat="false" ht="26.85" hidden="false" customHeight="false" outlineLevel="0" collapsed="false">
      <c r="A17" s="16" t="s">
        <v>235</v>
      </c>
      <c r="B17" s="35" t="n">
        <v>46207</v>
      </c>
      <c r="C17" s="26" t="s">
        <v>39</v>
      </c>
      <c r="D17" s="16" t="s">
        <v>220</v>
      </c>
      <c r="E17" s="16" t="s">
        <v>225</v>
      </c>
      <c r="F17" s="16" t="s">
        <v>218</v>
      </c>
      <c r="G17" s="16"/>
      <c r="H17" s="16" t="str">
        <f aca="false">IF($G17="","",IFERROR(INDEX('Olay Listesi'!$C$2:$C$65,MATCH($G17,'Olay Listesi'!$A$2:$A$65,0)),"Bulunamadı"))</f>
        <v/>
      </c>
      <c r="I17" s="16" t="str">
        <f aca="false">IF($G17="","",IFERROR(INDEX('Olay Listesi'!$D$2:$D$65,MATCH($G17,'Olay Listesi'!$A$2:$A$65,0)),"Bulunamadı"))</f>
        <v/>
      </c>
      <c r="J17" s="16" t="str">
        <f aca="false">IF($G17="","",IFERROR(INDEX('Olay Listesi'!$H$2:$H$65,MATCH($G17,'Olay Listesi'!$A$2:$A$65,0)),"Bulunamadı"))</f>
        <v/>
      </c>
      <c r="K17" s="16" t="str">
        <f aca="false">IF($G17="","",IF($H17&lt;&gt;$C17,"Farklı hizmette olay!",IF($F17="Geri alındı","Geri alınan değişiklik","")))</f>
        <v/>
      </c>
    </row>
    <row r="18" customFormat="false" ht="26.85" hidden="false" customHeight="false" outlineLevel="0" collapsed="false">
      <c r="A18" s="16" t="s">
        <v>236</v>
      </c>
      <c r="B18" s="35" t="n">
        <v>46206</v>
      </c>
      <c r="C18" s="26" t="s">
        <v>39</v>
      </c>
      <c r="D18" s="16" t="s">
        <v>220</v>
      </c>
      <c r="E18" s="16" t="s">
        <v>217</v>
      </c>
      <c r="F18" s="16" t="s">
        <v>218</v>
      </c>
      <c r="G18" s="16"/>
      <c r="H18" s="16" t="str">
        <f aca="false">IF($G18="","",IFERROR(INDEX('Olay Listesi'!$C$2:$C$65,MATCH($G18,'Olay Listesi'!$A$2:$A$65,0)),"Bulunamadı"))</f>
        <v/>
      </c>
      <c r="I18" s="16" t="str">
        <f aca="false">IF($G18="","",IFERROR(INDEX('Olay Listesi'!$D$2:$D$65,MATCH($G18,'Olay Listesi'!$A$2:$A$65,0)),"Bulunamadı"))</f>
        <v/>
      </c>
      <c r="J18" s="16" t="str">
        <f aca="false">IF($G18="","",IFERROR(INDEX('Olay Listesi'!$H$2:$H$65,MATCH($G18,'Olay Listesi'!$A$2:$A$65,0)),"Bulunamadı"))</f>
        <v/>
      </c>
      <c r="K18" s="16" t="str">
        <f aca="false">IF($G18="","",IF($H18&lt;&gt;$C18,"Farklı hizmette olay!",IF($F18="Geri alındı","Geri alınan değişiklik","")))</f>
        <v/>
      </c>
    </row>
    <row r="19" customFormat="false" ht="26.85" hidden="false" customHeight="false" outlineLevel="0" collapsed="false">
      <c r="A19" s="16" t="s">
        <v>237</v>
      </c>
      <c r="B19" s="35" t="n">
        <v>46208</v>
      </c>
      <c r="C19" s="26" t="s">
        <v>40</v>
      </c>
      <c r="D19" s="16" t="s">
        <v>216</v>
      </c>
      <c r="E19" s="16" t="s">
        <v>221</v>
      </c>
      <c r="F19" s="16" t="s">
        <v>218</v>
      </c>
      <c r="G19" s="16"/>
      <c r="H19" s="16" t="str">
        <f aca="false">IF($G19="","",IFERROR(INDEX('Olay Listesi'!$C$2:$C$65,MATCH($G19,'Olay Listesi'!$A$2:$A$65,0)),"Bulunamadı"))</f>
        <v/>
      </c>
      <c r="I19" s="16" t="str">
        <f aca="false">IF($G19="","",IFERROR(INDEX('Olay Listesi'!$D$2:$D$65,MATCH($G19,'Olay Listesi'!$A$2:$A$65,0)),"Bulunamadı"))</f>
        <v/>
      </c>
      <c r="J19" s="16" t="str">
        <f aca="false">IF($G19="","",IFERROR(INDEX('Olay Listesi'!$H$2:$H$65,MATCH($G19,'Olay Listesi'!$A$2:$A$65,0)),"Bulunamadı"))</f>
        <v/>
      </c>
      <c r="K19" s="16" t="str">
        <f aca="false">IF($G19="","",IF($H19&lt;&gt;$C19,"Farklı hizmette olay!",IF($F19="Geri alındı","Geri alınan değişiklik","")))</f>
        <v/>
      </c>
    </row>
    <row r="20" customFormat="false" ht="26.85" hidden="false" customHeight="false" outlineLevel="0" collapsed="false">
      <c r="A20" s="16" t="s">
        <v>238</v>
      </c>
      <c r="B20" s="35" t="n">
        <v>46205</v>
      </c>
      <c r="C20" s="26" t="s">
        <v>37</v>
      </c>
      <c r="D20" s="16" t="s">
        <v>220</v>
      </c>
      <c r="E20" s="16" t="s">
        <v>217</v>
      </c>
      <c r="F20" s="16" t="s">
        <v>233</v>
      </c>
      <c r="G20" s="16"/>
      <c r="H20" s="16" t="str">
        <f aca="false">IF($G20="","",IFERROR(INDEX('Olay Listesi'!$C$2:$C$65,MATCH($G20,'Olay Listesi'!$A$2:$A$65,0)),"Bulunamadı"))</f>
        <v/>
      </c>
      <c r="I20" s="16" t="str">
        <f aca="false">IF($G20="","",IFERROR(INDEX('Olay Listesi'!$D$2:$D$65,MATCH($G20,'Olay Listesi'!$A$2:$A$65,0)),"Bulunamadı"))</f>
        <v/>
      </c>
      <c r="J20" s="16" t="str">
        <f aca="false">IF($G20="","",IFERROR(INDEX('Olay Listesi'!$H$2:$H$65,MATCH($G20,'Olay Listesi'!$A$2:$A$65,0)),"Bulunamadı"))</f>
        <v/>
      </c>
      <c r="K20" s="16" t="str">
        <f aca="false">IF($G20="","",IF($H20&lt;&gt;$C20,"Farklı hizmette olay!",IF($F20="Geri alındı","Geri alınan değişiklik","")))</f>
        <v/>
      </c>
    </row>
    <row r="21" customFormat="false" ht="26.85" hidden="false" customHeight="false" outlineLevel="0" collapsed="false">
      <c r="A21" s="16" t="s">
        <v>239</v>
      </c>
      <c r="B21" s="35" t="n">
        <v>46205</v>
      </c>
      <c r="C21" s="26" t="s">
        <v>42</v>
      </c>
      <c r="D21" s="16" t="s">
        <v>216</v>
      </c>
      <c r="E21" s="16" t="s">
        <v>217</v>
      </c>
      <c r="F21" s="16" t="s">
        <v>218</v>
      </c>
      <c r="G21" s="16"/>
      <c r="H21" s="16" t="str">
        <f aca="false">IF($G21="","",IFERROR(INDEX('Olay Listesi'!$C$2:$C$65,MATCH($G21,'Olay Listesi'!$A$2:$A$65,0)),"Bulunamadı"))</f>
        <v/>
      </c>
      <c r="I21" s="16" t="str">
        <f aca="false">IF($G21="","",IFERROR(INDEX('Olay Listesi'!$D$2:$D$65,MATCH($G21,'Olay Listesi'!$A$2:$A$65,0)),"Bulunamadı"))</f>
        <v/>
      </c>
      <c r="J21" s="16" t="str">
        <f aca="false">IF($G21="","",IFERROR(INDEX('Olay Listesi'!$H$2:$H$65,MATCH($G21,'Olay Listesi'!$A$2:$A$65,0)),"Bulunamadı"))</f>
        <v/>
      </c>
      <c r="K21" s="16" t="str">
        <f aca="false">IF($G21="","",IF($H21&lt;&gt;$C21,"Farklı hizmette olay!",IF($F21="Geri alındı","Geri alınan değişiklik","")))</f>
        <v/>
      </c>
    </row>
    <row r="22" customFormat="false" ht="26.85" hidden="false" customHeight="false" outlineLevel="0" collapsed="false">
      <c r="A22" s="16" t="s">
        <v>240</v>
      </c>
      <c r="B22" s="35" t="n">
        <v>46207</v>
      </c>
      <c r="C22" s="26" t="s">
        <v>37</v>
      </c>
      <c r="D22" s="16" t="s">
        <v>220</v>
      </c>
      <c r="E22" s="16" t="s">
        <v>217</v>
      </c>
      <c r="F22" s="16" t="s">
        <v>233</v>
      </c>
      <c r="G22" s="16"/>
      <c r="H22" s="16" t="str">
        <f aca="false">IF($G22="","",IFERROR(INDEX('Olay Listesi'!$C$2:$C$65,MATCH($G22,'Olay Listesi'!$A$2:$A$65,0)),"Bulunamadı"))</f>
        <v/>
      </c>
      <c r="I22" s="16" t="str">
        <f aca="false">IF($G22="","",IFERROR(INDEX('Olay Listesi'!$D$2:$D$65,MATCH($G22,'Olay Listesi'!$A$2:$A$65,0)),"Bulunamadı"))</f>
        <v/>
      </c>
      <c r="J22" s="16" t="str">
        <f aca="false">IF($G22="","",IFERROR(INDEX('Olay Listesi'!$H$2:$H$65,MATCH($G22,'Olay Listesi'!$A$2:$A$65,0)),"Bulunamadı"))</f>
        <v/>
      </c>
      <c r="K22" s="16" t="str">
        <f aca="false">IF($G22="","",IF($H22&lt;&gt;$C22,"Farklı hizmette olay!",IF($F22="Geri alındı","Geri alınan değişiklik","")))</f>
        <v/>
      </c>
    </row>
    <row r="23" customFormat="false" ht="26.85" hidden="false" customHeight="false" outlineLevel="0" collapsed="false">
      <c r="A23" s="16" t="s">
        <v>241</v>
      </c>
      <c r="B23" s="35" t="n">
        <v>46208</v>
      </c>
      <c r="C23" s="26" t="s">
        <v>39</v>
      </c>
      <c r="D23" s="16" t="s">
        <v>220</v>
      </c>
      <c r="E23" s="16" t="s">
        <v>225</v>
      </c>
      <c r="F23" s="16" t="s">
        <v>218</v>
      </c>
      <c r="G23" s="16"/>
      <c r="H23" s="16" t="str">
        <f aca="false">IF($G23="","",IFERROR(INDEX('Olay Listesi'!$C$2:$C$65,MATCH($G23,'Olay Listesi'!$A$2:$A$65,0)),"Bulunamadı"))</f>
        <v/>
      </c>
      <c r="I23" s="16" t="str">
        <f aca="false">IF($G23="","",IFERROR(INDEX('Olay Listesi'!$D$2:$D$65,MATCH($G23,'Olay Listesi'!$A$2:$A$65,0)),"Bulunamadı"))</f>
        <v/>
      </c>
      <c r="J23" s="16" t="str">
        <f aca="false">IF($G23="","",IFERROR(INDEX('Olay Listesi'!$H$2:$H$65,MATCH($G23,'Olay Listesi'!$A$2:$A$65,0)),"Bulunamadı"))</f>
        <v/>
      </c>
      <c r="K23" s="16" t="str">
        <f aca="false">IF($G23="","",IF($H23&lt;&gt;$C23,"Farklı hizmette olay!",IF($F23="Geri alındı","Geri alınan değişiklik","")))</f>
        <v/>
      </c>
    </row>
    <row r="24" customFormat="false" ht="26.85" hidden="false" customHeight="false" outlineLevel="0" collapsed="false">
      <c r="A24" s="16" t="s">
        <v>242</v>
      </c>
      <c r="B24" s="35" t="n">
        <v>46207</v>
      </c>
      <c r="C24" s="26" t="s">
        <v>40</v>
      </c>
      <c r="D24" s="16" t="s">
        <v>220</v>
      </c>
      <c r="E24" s="16" t="s">
        <v>221</v>
      </c>
      <c r="F24" s="16" t="s">
        <v>218</v>
      </c>
      <c r="G24" s="16"/>
      <c r="H24" s="16" t="str">
        <f aca="false">IF($G24="","",IFERROR(INDEX('Olay Listesi'!$C$2:$C$65,MATCH($G24,'Olay Listesi'!$A$2:$A$65,0)),"Bulunamadı"))</f>
        <v/>
      </c>
      <c r="I24" s="16" t="str">
        <f aca="false">IF($G24="","",IFERROR(INDEX('Olay Listesi'!$D$2:$D$65,MATCH($G24,'Olay Listesi'!$A$2:$A$65,0)),"Bulunamadı"))</f>
        <v/>
      </c>
      <c r="J24" s="16" t="str">
        <f aca="false">IF($G24="","",IFERROR(INDEX('Olay Listesi'!$H$2:$H$65,MATCH($G24,'Olay Listesi'!$A$2:$A$65,0)),"Bulunamadı"))</f>
        <v/>
      </c>
      <c r="K24" s="16" t="str">
        <f aca="false">IF($G24="","",IF($H24&lt;&gt;$C24,"Farklı hizmette olay!",IF($F24="Geri alındı","Geri alınan değişiklik","")))</f>
        <v/>
      </c>
    </row>
    <row r="25" customFormat="false" ht="26.85" hidden="false" customHeight="false" outlineLevel="0" collapsed="false">
      <c r="A25" s="16" t="s">
        <v>243</v>
      </c>
      <c r="B25" s="35" t="n">
        <v>46204</v>
      </c>
      <c r="C25" s="26" t="s">
        <v>41</v>
      </c>
      <c r="D25" s="16" t="s">
        <v>220</v>
      </c>
      <c r="E25" s="16" t="s">
        <v>217</v>
      </c>
      <c r="F25" s="16" t="s">
        <v>218</v>
      </c>
      <c r="G25" s="16"/>
      <c r="H25" s="16" t="str">
        <f aca="false">IF($G25="","",IFERROR(INDEX('Olay Listesi'!$C$2:$C$65,MATCH($G25,'Olay Listesi'!$A$2:$A$65,0)),"Bulunamadı"))</f>
        <v/>
      </c>
      <c r="I25" s="16" t="str">
        <f aca="false">IF($G25="","",IFERROR(INDEX('Olay Listesi'!$D$2:$D$65,MATCH($G25,'Olay Listesi'!$A$2:$A$65,0)),"Bulunamadı"))</f>
        <v/>
      </c>
      <c r="J25" s="16" t="str">
        <f aca="false">IF($G25="","",IFERROR(INDEX('Olay Listesi'!$H$2:$H$65,MATCH($G25,'Olay Listesi'!$A$2:$A$65,0)),"Bulunamadı"))</f>
        <v/>
      </c>
      <c r="K25" s="16" t="str">
        <f aca="false">IF($G25="","",IF($H25&lt;&gt;$C25,"Farklı hizmette olay!",IF($F25="Geri alındı","Geri alınan değişiklik","")))</f>
        <v/>
      </c>
    </row>
    <row r="26" customFormat="false" ht="26.85" hidden="false" customHeight="false" outlineLevel="0" collapsed="false">
      <c r="A26" s="16" t="s">
        <v>244</v>
      </c>
      <c r="B26" s="35" t="n">
        <v>46204</v>
      </c>
      <c r="C26" s="26" t="s">
        <v>39</v>
      </c>
      <c r="D26" s="16" t="s">
        <v>223</v>
      </c>
      <c r="E26" s="16" t="s">
        <v>225</v>
      </c>
      <c r="F26" s="16" t="s">
        <v>218</v>
      </c>
      <c r="G26" s="16"/>
      <c r="H26" s="16" t="str">
        <f aca="false">IF($G26="","",IFERROR(INDEX('Olay Listesi'!$C$2:$C$65,MATCH($G26,'Olay Listesi'!$A$2:$A$65,0)),"Bulunamadı"))</f>
        <v/>
      </c>
      <c r="I26" s="16" t="str">
        <f aca="false">IF($G26="","",IFERROR(INDEX('Olay Listesi'!$D$2:$D$65,MATCH($G26,'Olay Listesi'!$A$2:$A$65,0)),"Bulunamadı"))</f>
        <v/>
      </c>
      <c r="J26" s="16" t="str">
        <f aca="false">IF($G26="","",IFERROR(INDEX('Olay Listesi'!$H$2:$H$65,MATCH($G26,'Olay Listesi'!$A$2:$A$65,0)),"Bulunamadı"))</f>
        <v/>
      </c>
      <c r="K26" s="16" t="str">
        <f aca="false">IF($G26="","",IF($H26&lt;&gt;$C26,"Farklı hizmette olay!",IF($F26="Geri alındı","Geri alınan değişiklik","")))</f>
        <v/>
      </c>
    </row>
    <row r="27" customFormat="false" ht="26.85" hidden="false" customHeight="false" outlineLevel="0" collapsed="false">
      <c r="A27" s="16" t="s">
        <v>245</v>
      </c>
      <c r="B27" s="35" t="n">
        <v>46206</v>
      </c>
      <c r="C27" s="26" t="s">
        <v>37</v>
      </c>
      <c r="D27" s="16" t="s">
        <v>216</v>
      </c>
      <c r="E27" s="16" t="s">
        <v>225</v>
      </c>
      <c r="F27" s="16" t="s">
        <v>233</v>
      </c>
      <c r="G27" s="16"/>
      <c r="H27" s="16" t="str">
        <f aca="false">IF($G27="","",IFERROR(INDEX('Olay Listesi'!$C$2:$C$65,MATCH($G27,'Olay Listesi'!$A$2:$A$65,0)),"Bulunamadı"))</f>
        <v/>
      </c>
      <c r="I27" s="16" t="str">
        <f aca="false">IF($G27="","",IFERROR(INDEX('Olay Listesi'!$D$2:$D$65,MATCH($G27,'Olay Listesi'!$A$2:$A$65,0)),"Bulunamadı"))</f>
        <v/>
      </c>
      <c r="J27" s="16" t="str">
        <f aca="false">IF($G27="","",IFERROR(INDEX('Olay Listesi'!$H$2:$H$65,MATCH($G27,'Olay Listesi'!$A$2:$A$65,0)),"Bulunamadı"))</f>
        <v/>
      </c>
      <c r="K27" s="16" t="str">
        <f aca="false">IF($G27="","",IF($H27&lt;&gt;$C27,"Farklı hizmette olay!",IF($F27="Geri alındı","Geri alınan değişiklik","")))</f>
        <v/>
      </c>
    </row>
    <row r="28" customFormat="false" ht="26.85" hidden="false" customHeight="false" outlineLevel="0" collapsed="false">
      <c r="A28" s="16" t="s">
        <v>246</v>
      </c>
      <c r="B28" s="35" t="n">
        <v>46207</v>
      </c>
      <c r="C28" s="26" t="s">
        <v>39</v>
      </c>
      <c r="D28" s="16" t="s">
        <v>220</v>
      </c>
      <c r="E28" s="16" t="s">
        <v>225</v>
      </c>
      <c r="F28" s="16" t="s">
        <v>233</v>
      </c>
      <c r="G28" s="16" t="s">
        <v>161</v>
      </c>
      <c r="H28" s="16" t="str">
        <f aca="false">IF($G28="","",IFERROR(INDEX('Olay Listesi'!$C$2:$C$65,MATCH($G28,'Olay Listesi'!$A$2:$A$65,0)),"Bulunamadı"))</f>
        <v>API Geçidi</v>
      </c>
      <c r="I28" s="16" t="str">
        <f aca="false">IF($G28="","",IFERROR(INDEX('Olay Listesi'!$D$2:$D$65,MATCH($G28,'Olay Listesi'!$A$2:$A$65,0)),"Bulunamadı"))</f>
        <v>P2</v>
      </c>
      <c r="J28" s="16" t="str">
        <f aca="false">IF($G28="","",IFERROR(INDEX('Olay Listesi'!$H$2:$H$65,MATCH($G28,'Olay Listesi'!$A$2:$A$65,0)),"Bulunamadı"))</f>
        <v>Sürüm/dağıtım hatası</v>
      </c>
      <c r="K28" s="16" t="str">
        <f aca="false">IF($G28="","",IF($H28&lt;&gt;$C28,"Farklı hizmette olay!",IF($F28="Geri alındı","Geri alınan değişiklik","")))</f>
        <v>Farklı hizmette olay!</v>
      </c>
    </row>
    <row r="29" customFormat="false" ht="26.85" hidden="false" customHeight="false" outlineLevel="0" collapsed="false">
      <c r="A29" s="16" t="s">
        <v>247</v>
      </c>
      <c r="B29" s="35" t="n">
        <v>46205</v>
      </c>
      <c r="C29" s="26" t="s">
        <v>40</v>
      </c>
      <c r="D29" s="16" t="s">
        <v>220</v>
      </c>
      <c r="E29" s="16" t="s">
        <v>217</v>
      </c>
      <c r="F29" s="16" t="s">
        <v>218</v>
      </c>
      <c r="G29" s="16"/>
      <c r="H29" s="16" t="str">
        <f aca="false">IF($G29="","",IFERROR(INDEX('Olay Listesi'!$C$2:$C$65,MATCH($G29,'Olay Listesi'!$A$2:$A$65,0)),"Bulunamadı"))</f>
        <v/>
      </c>
      <c r="I29" s="16" t="str">
        <f aca="false">IF($G29="","",IFERROR(INDEX('Olay Listesi'!$D$2:$D$65,MATCH($G29,'Olay Listesi'!$A$2:$A$65,0)),"Bulunamadı"))</f>
        <v/>
      </c>
      <c r="J29" s="16" t="str">
        <f aca="false">IF($G29="","",IFERROR(INDEX('Olay Listesi'!$H$2:$H$65,MATCH($G29,'Olay Listesi'!$A$2:$A$65,0)),"Bulunamadı"))</f>
        <v/>
      </c>
      <c r="K29" s="16" t="str">
        <f aca="false">IF($G29="","",IF($H29&lt;&gt;$C29,"Farklı hizmette olay!",IF($F29="Geri alındı","Geri alınan değişiklik","")))</f>
        <v/>
      </c>
    </row>
    <row r="30" customFormat="false" ht="26.85" hidden="false" customHeight="false" outlineLevel="0" collapsed="false">
      <c r="A30" s="16" t="s">
        <v>248</v>
      </c>
      <c r="B30" s="35" t="n">
        <v>46207</v>
      </c>
      <c r="C30" s="26" t="s">
        <v>41</v>
      </c>
      <c r="D30" s="16" t="s">
        <v>216</v>
      </c>
      <c r="E30" s="16" t="s">
        <v>221</v>
      </c>
      <c r="F30" s="16" t="s">
        <v>218</v>
      </c>
      <c r="G30" s="16"/>
      <c r="H30" s="16" t="str">
        <f aca="false">IF($G30="","",IFERROR(INDEX('Olay Listesi'!$C$2:$C$65,MATCH($G30,'Olay Listesi'!$A$2:$A$65,0)),"Bulunamadı"))</f>
        <v/>
      </c>
      <c r="I30" s="16" t="str">
        <f aca="false">IF($G30="","",IFERROR(INDEX('Olay Listesi'!$D$2:$D$65,MATCH($G30,'Olay Listesi'!$A$2:$A$65,0)),"Bulunamadı"))</f>
        <v/>
      </c>
      <c r="J30" s="16" t="str">
        <f aca="false">IF($G30="","",IFERROR(INDEX('Olay Listesi'!$H$2:$H$65,MATCH($G30,'Olay Listesi'!$A$2:$A$65,0)),"Bulunamadı"))</f>
        <v/>
      </c>
      <c r="K30" s="16" t="str">
        <f aca="false">IF($G30="","",IF($H30&lt;&gt;$C30,"Farklı hizmette olay!",IF($F30="Geri alındı","Geri alınan değişiklik","")))</f>
        <v/>
      </c>
    </row>
    <row r="33" customFormat="false" ht="15" hidden="false" customHeight="false" outlineLevel="0" collapsed="false">
      <c r="A33" s="4" t="s">
        <v>249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customFormat="false" ht="39.55" hidden="false" customHeight="false" outlineLevel="0" collapsed="false">
      <c r="A34" s="14" t="s">
        <v>34</v>
      </c>
      <c r="B34" s="14" t="s">
        <v>250</v>
      </c>
      <c r="C34" s="14" t="s">
        <v>35</v>
      </c>
      <c r="D34" s="14" t="s">
        <v>36</v>
      </c>
      <c r="E34" s="14" t="s">
        <v>251</v>
      </c>
      <c r="F34" s="14" t="s">
        <v>7</v>
      </c>
    </row>
    <row r="35" customFormat="false" ht="26.85" hidden="false" customHeight="false" outlineLevel="0" collapsed="false">
      <c r="A35" s="26" t="s">
        <v>37</v>
      </c>
      <c r="B35" s="16" t="n">
        <f aca="false">COUNTIF('Olay Listesi'!$C$2:$C$65,"Bildirim Servisi")</f>
        <v>16</v>
      </c>
      <c r="C35" s="16" t="n">
        <f aca="false">COUNTIF($C$5:$C$30,"Bildirim Servisi")</f>
        <v>6</v>
      </c>
      <c r="D35" s="16" t="n">
        <f aca="false">COUNTIFS($C$5:$C$30,"Bildirim Servisi",$F$5:$F$30,"Geri alındı")</f>
        <v>4</v>
      </c>
      <c r="E35" s="16" t="n">
        <f aca="false">COUNTIFS('Olay Listesi'!$C$2:$C$65,"Bildirim Servisi",'Olay Listesi'!$N$2:$N$65,"Sürüm/Dağıtım")</f>
        <v>1</v>
      </c>
      <c r="F35" s="16" t="n">
        <f aca="false">COUNTIFS($C$5:$C$30,"Bildirim Servisi",$F$5:$F$30,"Başarılı")</f>
        <v>2</v>
      </c>
    </row>
    <row r="36" customFormat="false" ht="15" hidden="false" customHeight="false" outlineLevel="0" collapsed="false">
      <c r="A36" s="26" t="s">
        <v>38</v>
      </c>
      <c r="B36" s="16" t="n">
        <f aca="false">COUNTIF('Olay Listesi'!$C$2:$C$65,"API Geçidi")</f>
        <v>12</v>
      </c>
      <c r="C36" s="16" t="n">
        <f aca="false">COUNTIF($C$5:$C$30,"API Geçidi")</f>
        <v>2</v>
      </c>
      <c r="D36" s="16" t="n">
        <f aca="false">COUNTIFS($C$5:$C$30,"API Geçidi",$F$5:$F$30,"Geri alındı")</f>
        <v>0</v>
      </c>
      <c r="E36" s="16" t="n">
        <f aca="false">COUNTIFS('Olay Listesi'!$C$2:$C$65,"API Geçidi",'Olay Listesi'!$N$2:$N$65,"Sürüm/Dağıtım")</f>
        <v>3</v>
      </c>
      <c r="F36" s="16" t="n">
        <f aca="false">COUNTIFS($C$5:$C$30,"API Geçidi",$F$5:$F$30,"Başarılı")</f>
        <v>2</v>
      </c>
    </row>
    <row r="37" customFormat="false" ht="26.85" hidden="false" customHeight="false" outlineLevel="0" collapsed="false">
      <c r="A37" s="26" t="s">
        <v>39</v>
      </c>
      <c r="B37" s="16" t="n">
        <f aca="false">COUNTIF('Olay Listesi'!$C$2:$C$65,"Çekirdek Bankacılık")</f>
        <v>12</v>
      </c>
      <c r="C37" s="16" t="n">
        <f aca="false">COUNTIF($C$5:$C$30,"Çekirdek Bankacılık")</f>
        <v>6</v>
      </c>
      <c r="D37" s="16" t="n">
        <f aca="false">COUNTIFS($C$5:$C$30,"Çekirdek Bankacılık",$F$5:$F$30,"Geri alındı")</f>
        <v>1</v>
      </c>
      <c r="E37" s="16" t="n">
        <f aca="false">COUNTIFS('Olay Listesi'!$C$2:$C$65,"Çekirdek Bankacılık",'Olay Listesi'!$N$2:$N$65,"Sürüm/Dağıtım")</f>
        <v>1</v>
      </c>
      <c r="F37" s="16" t="n">
        <f aca="false">COUNTIFS($C$5:$C$30,"Çekirdek Bankacılık",$F$5:$F$30,"Başarılı")</f>
        <v>5</v>
      </c>
    </row>
    <row r="38" customFormat="false" ht="26.85" hidden="false" customHeight="false" outlineLevel="0" collapsed="false">
      <c r="A38" s="26" t="s">
        <v>40</v>
      </c>
      <c r="B38" s="16" t="n">
        <f aca="false">COUNTIF('Olay Listesi'!$C$2:$C$65,"Ödeme Servisi")</f>
        <v>10</v>
      </c>
      <c r="C38" s="16" t="n">
        <f aca="false">COUNTIF($C$5:$C$30,"Ödeme Servisi")</f>
        <v>6</v>
      </c>
      <c r="D38" s="16" t="n">
        <f aca="false">COUNTIFS($C$5:$C$30,"Ödeme Servisi",$F$5:$F$30,"Geri alındı")</f>
        <v>0</v>
      </c>
      <c r="E38" s="16" t="n">
        <f aca="false">COUNTIFS('Olay Listesi'!$C$2:$C$65,"Ödeme Servisi",'Olay Listesi'!$N$2:$N$65,"Sürüm/Dağıtım")</f>
        <v>0</v>
      </c>
      <c r="F38" s="16" t="n">
        <f aca="false">COUNTIFS($C$5:$C$30,"Ödeme Servisi",$F$5:$F$30,"Başarılı")</f>
        <v>6</v>
      </c>
    </row>
    <row r="39" customFormat="false" ht="26.85" hidden="false" customHeight="false" outlineLevel="0" collapsed="false">
      <c r="A39" s="26" t="s">
        <v>41</v>
      </c>
      <c r="B39" s="16" t="n">
        <f aca="false">COUNTIF('Olay Listesi'!$C$2:$C$65,"Mobil Uygulama")</f>
        <v>8</v>
      </c>
      <c r="C39" s="16" t="n">
        <f aca="false">COUNTIF($C$5:$C$30,"Mobil Uygulama")</f>
        <v>5</v>
      </c>
      <c r="D39" s="16" t="n">
        <f aca="false">COUNTIFS($C$5:$C$30,"Mobil Uygulama",$F$5:$F$30,"Geri alındı")</f>
        <v>0</v>
      </c>
      <c r="E39" s="16" t="n">
        <f aca="false">COUNTIFS('Olay Listesi'!$C$2:$C$65,"Mobil Uygulama",'Olay Listesi'!$N$2:$N$65,"Sürüm/Dağıtım")</f>
        <v>1</v>
      </c>
      <c r="F39" s="16" t="n">
        <f aca="false">COUNTIFS($C$5:$C$30,"Mobil Uygulama",$F$5:$F$30,"Başarılı")</f>
        <v>5</v>
      </c>
    </row>
    <row r="40" customFormat="false" ht="26.85" hidden="false" customHeight="false" outlineLevel="0" collapsed="false">
      <c r="A40" s="26" t="s">
        <v>42</v>
      </c>
      <c r="B40" s="16" t="n">
        <f aca="false">COUNTIF('Olay Listesi'!$C$2:$C$65,"İnternet Şubesi")</f>
        <v>6</v>
      </c>
      <c r="C40" s="16" t="n">
        <f aca="false">COUNTIF($C$5:$C$30,"İnternet Şubesi")</f>
        <v>1</v>
      </c>
      <c r="D40" s="16" t="n">
        <f aca="false">COUNTIFS($C$5:$C$30,"İnternet Şubesi",$F$5:$F$30,"Geri alındı")</f>
        <v>0</v>
      </c>
      <c r="E40" s="16" t="n">
        <f aca="false">COUNTIFS('Olay Listesi'!$C$2:$C$65,"İnternet Şubesi",'Olay Listesi'!$N$2:$N$65,"Sürüm/Dağıtım")</f>
        <v>2</v>
      </c>
      <c r="F40" s="16" t="n">
        <f aca="false">COUNTIFS($C$5:$C$30,"İnternet Şubesi",$F$5:$F$30,"Başarılı")</f>
        <v>1</v>
      </c>
    </row>
    <row r="41" customFormat="false" ht="15" hidden="false" customHeight="false" outlineLevel="0" collapsed="false">
      <c r="A41" s="23" t="s">
        <v>32</v>
      </c>
      <c r="B41" s="23" t="n">
        <f aca="false">SUM(B35:B40)</f>
        <v>64</v>
      </c>
      <c r="C41" s="23" t="n">
        <f aca="false">SUM(C35:C40)</f>
        <v>26</v>
      </c>
      <c r="D41" s="23" t="n">
        <f aca="false">SUM(D35:D40)</f>
        <v>5</v>
      </c>
      <c r="E41" s="23" t="n">
        <f aca="false">SUM(E35:E40)</f>
        <v>8</v>
      </c>
      <c r="F41" s="23" t="n">
        <f aca="false">SUM(F35:F40)</f>
        <v>21</v>
      </c>
    </row>
    <row r="44" customFormat="false" ht="15" hidden="false" customHeight="false" outlineLevel="0" collapsed="false">
      <c r="A44" s="4" t="s">
        <v>252</v>
      </c>
      <c r="B44" s="4"/>
      <c r="C44" s="4"/>
      <c r="D44" s="4"/>
      <c r="E44" s="4"/>
      <c r="F44" s="4"/>
      <c r="G44" s="4"/>
      <c r="H44" s="4"/>
      <c r="I44" s="4"/>
      <c r="J44" s="4"/>
      <c r="K44" s="4"/>
    </row>
    <row r="45" customFormat="false" ht="26.85" hidden="false" customHeight="false" outlineLevel="0" collapsed="false">
      <c r="A45" s="14" t="s">
        <v>206</v>
      </c>
      <c r="B45" s="14" t="s">
        <v>253</v>
      </c>
      <c r="C45" s="14" t="s">
        <v>209</v>
      </c>
      <c r="D45" s="14" t="s">
        <v>254</v>
      </c>
      <c r="E45" s="14" t="s">
        <v>255</v>
      </c>
      <c r="F45" s="14" t="s">
        <v>256</v>
      </c>
      <c r="G45" s="14" t="s">
        <v>257</v>
      </c>
      <c r="H45" s="14" t="s">
        <v>214</v>
      </c>
    </row>
    <row r="46" customFormat="false" ht="26.85" hidden="false" customHeight="false" outlineLevel="0" collapsed="false">
      <c r="A46" s="16" t="s">
        <v>232</v>
      </c>
      <c r="B46" s="16" t="str">
        <f aca="false">INDEX($C$5:$C$30,MATCH("CHG911",$A$5:$A$30,0))</f>
        <v>Bildirim Servisi</v>
      </c>
      <c r="C46" s="16" t="str">
        <f aca="false">INDEX($F$5:$F$30,MATCH("CHG911",$A$5:$A$30,0))</f>
        <v>Geri alındı</v>
      </c>
      <c r="D46" s="16" t="str">
        <f aca="false">INDEX($G$5:$G$30,MATCH("CHG911",$A$5:$A$30,0))</f>
        <v>INC5057</v>
      </c>
      <c r="E46" s="16" t="str">
        <f aca="false">INDEX($H$5:$H$30,MATCH("CHG911",$A$5:$A$30,0))</f>
        <v>Bildirim Servisi</v>
      </c>
      <c r="F46" s="16" t="str">
        <f aca="false">INDEX($I$5:$I$30,MATCH("CHG911",$A$5:$A$30,0))</f>
        <v>P3</v>
      </c>
      <c r="G46" s="16" t="str">
        <f aca="false">INDEX($J$5:$J$30,MATCH("CHG911",$A$5:$A$30,0))</f>
        <v>Sertifika/kimlik doğrulama</v>
      </c>
      <c r="H46" s="16" t="str">
        <f aca="false">INDEX($K$5:$K$30,MATCH("CHG911",$A$5:$A$30,0))</f>
        <v>Geri alınan değişiklik</v>
      </c>
    </row>
    <row r="47" customFormat="false" ht="26.85" hidden="false" customHeight="false" outlineLevel="0" collapsed="false">
      <c r="A47" s="16" t="s">
        <v>246</v>
      </c>
      <c r="B47" s="16" t="str">
        <f aca="false">INDEX($C$5:$C$30,MATCH("CHG924",$A$5:$A$30,0))</f>
        <v>Çekirdek Bankacılık</v>
      </c>
      <c r="C47" s="16" t="str">
        <f aca="false">INDEX($F$5:$F$30,MATCH("CHG924",$A$5:$A$30,0))</f>
        <v>Geri alındı</v>
      </c>
      <c r="D47" s="16" t="str">
        <f aca="false">INDEX($G$5:$G$30,MATCH("CHG924",$A$5:$A$30,0))</f>
        <v>INC5051</v>
      </c>
      <c r="E47" s="16" t="str">
        <f aca="false">INDEX($H$5:$H$30,MATCH("CHG924",$A$5:$A$30,0))</f>
        <v>API Geçidi</v>
      </c>
      <c r="F47" s="16" t="str">
        <f aca="false">INDEX($I$5:$I$30,MATCH("CHG924",$A$5:$A$30,0))</f>
        <v>P2</v>
      </c>
      <c r="G47" s="16" t="str">
        <f aca="false">INDEX($J$5:$J$30,MATCH("CHG924",$A$5:$A$30,0))</f>
        <v>Sürüm/dağıtım hatası</v>
      </c>
      <c r="H47" s="16" t="str">
        <f aca="false">INDEX($K$5:$K$30,MATCH("CHG924",$A$5:$A$30,0))</f>
        <v>Farklı hizmette olay!</v>
      </c>
    </row>
    <row r="49" customFormat="false" ht="15" hidden="false" customHeight="false" outlineLevel="0" collapsed="false">
      <c r="A49" s="4" t="s">
        <v>258</v>
      </c>
      <c r="B49" s="4"/>
      <c r="C49" s="4"/>
      <c r="D49" s="4"/>
      <c r="E49" s="4"/>
      <c r="F49" s="4"/>
      <c r="G49" s="4"/>
      <c r="H49" s="4"/>
      <c r="I49" s="4"/>
      <c r="J49" s="4"/>
      <c r="K49" s="4"/>
    </row>
    <row r="50" customFormat="false" ht="52.2" hidden="false" customHeight="false" outlineLevel="0" collapsed="false">
      <c r="A50" s="14" t="s">
        <v>43</v>
      </c>
      <c r="B50" s="14" t="s">
        <v>34</v>
      </c>
      <c r="C50" s="14" t="s">
        <v>44</v>
      </c>
      <c r="D50" s="14" t="s">
        <v>21</v>
      </c>
      <c r="E50" s="14" t="s">
        <v>49</v>
      </c>
      <c r="F50" s="14" t="s">
        <v>259</v>
      </c>
      <c r="G50" s="14" t="s">
        <v>260</v>
      </c>
    </row>
    <row r="51" customFormat="false" ht="26.85" hidden="false" customHeight="false" outlineLevel="0" collapsed="false">
      <c r="A51" s="16" t="s">
        <v>64</v>
      </c>
      <c r="B51" s="16" t="str">
        <f aca="false">INDEX('Olay Listesi'!$C$2:$C$65,MATCH("INC5004",'Olay Listesi'!$A$2:$A$65,0))</f>
        <v>Bildirim Servisi</v>
      </c>
      <c r="C51" s="35" t="n">
        <f aca="false">INDEX('Olay Listesi'!$B$2:$B$65,MATCH("INC5004",'Olay Listesi'!$A$2:$A$65,0))</f>
        <v>46202</v>
      </c>
      <c r="D51" s="16" t="str">
        <f aca="false">INDEX('Olay Listesi'!$D$2:$D$65,MATCH("INC5004",'Olay Listesi'!$A$2:$A$65,0))</f>
        <v>P1</v>
      </c>
      <c r="E51" s="16" t="str">
        <f aca="false">INDEX('Olay Listesi'!$J$2:$J$65,MATCH("INC5004",'Olay Listesi'!$A$2:$A$65,0))</f>
        <v>Uygun</v>
      </c>
      <c r="F51" s="16" t="n">
        <f aca="false">COUNTIF($C$5:$C$30,B51)</f>
        <v>6</v>
      </c>
      <c r="G51" s="16" t="n">
        <f aca="false">COUNTIFS($C$5:$C$30,B51,$F$5:$F$30,"Geri alındı")</f>
        <v>4</v>
      </c>
    </row>
    <row r="52" customFormat="false" ht="26.85" hidden="false" customHeight="false" outlineLevel="0" collapsed="false">
      <c r="A52" s="16" t="s">
        <v>70</v>
      </c>
      <c r="B52" s="16" t="str">
        <f aca="false">INDEX('Olay Listesi'!$C$2:$C$65,MATCH("INC5006",'Olay Listesi'!$A$2:$A$65,0))</f>
        <v>İnternet Şubesi</v>
      </c>
      <c r="C52" s="35" t="n">
        <f aca="false">INDEX('Olay Listesi'!$B$2:$B$65,MATCH("INC5006",'Olay Listesi'!$A$2:$A$65,0))</f>
        <v>46208</v>
      </c>
      <c r="D52" s="16" t="str">
        <f aca="false">INDEX('Olay Listesi'!$D$2:$D$65,MATCH("INC5006",'Olay Listesi'!$A$2:$A$65,0))</f>
        <v>P2</v>
      </c>
      <c r="E52" s="16" t="str">
        <f aca="false">INDEX('Olay Listesi'!$J$2:$J$65,MATCH("INC5006",'Olay Listesi'!$A$2:$A$65,0))</f>
        <v>İhlal</v>
      </c>
      <c r="F52" s="16" t="n">
        <f aca="false">COUNTIF($C$5:$C$30,B52)</f>
        <v>1</v>
      </c>
      <c r="G52" s="16" t="n">
        <f aca="false">COUNTIFS($C$5:$C$30,B52,$F$5:$F$30,"Geri alındı")</f>
        <v>0</v>
      </c>
    </row>
    <row r="53" customFormat="false" ht="26.85" hidden="false" customHeight="false" outlineLevel="0" collapsed="false">
      <c r="A53" s="16" t="s">
        <v>101</v>
      </c>
      <c r="B53" s="16" t="str">
        <f aca="false">INDEX('Olay Listesi'!$C$2:$C$65,MATCH("INC5020",'Olay Listesi'!$A$2:$A$65,0))</f>
        <v>Çekirdek Bankacılık</v>
      </c>
      <c r="C53" s="35" t="n">
        <f aca="false">INDEX('Olay Listesi'!$B$2:$B$65,MATCH("INC5020",'Olay Listesi'!$A$2:$A$65,0))</f>
        <v>46202</v>
      </c>
      <c r="D53" s="16" t="str">
        <f aca="false">INDEX('Olay Listesi'!$D$2:$D$65,MATCH("INC5020",'Olay Listesi'!$A$2:$A$65,0))</f>
        <v>P3</v>
      </c>
      <c r="E53" s="16" t="str">
        <f aca="false">INDEX('Olay Listesi'!$J$2:$J$65,MATCH("INC5020",'Olay Listesi'!$A$2:$A$65,0))</f>
        <v>İhlal</v>
      </c>
      <c r="F53" s="16" t="n">
        <f aca="false">COUNTIF($C$5:$C$30,B53)</f>
        <v>6</v>
      </c>
      <c r="G53" s="16" t="n">
        <f aca="false">COUNTIFS($C$5:$C$30,B53,$F$5:$F$30,"Geri alındı")</f>
        <v>1</v>
      </c>
    </row>
    <row r="54" customFormat="false" ht="26.85" hidden="false" customHeight="false" outlineLevel="0" collapsed="false">
      <c r="A54" s="16" t="s">
        <v>136</v>
      </c>
      <c r="B54" s="16" t="str">
        <f aca="false">INDEX('Olay Listesi'!$C$2:$C$65,MATCH("INC5038",'Olay Listesi'!$A$2:$A$65,0))</f>
        <v>API Geçidi</v>
      </c>
      <c r="C54" s="35" t="n">
        <f aca="false">INDEX('Olay Listesi'!$B$2:$B$65,MATCH("INC5038",'Olay Listesi'!$A$2:$A$65,0))</f>
        <v>46204</v>
      </c>
      <c r="D54" s="16" t="str">
        <f aca="false">INDEX('Olay Listesi'!$D$2:$D$65,MATCH("INC5038",'Olay Listesi'!$A$2:$A$65,0))</f>
        <v>P2</v>
      </c>
      <c r="E54" s="16" t="str">
        <f aca="false">INDEX('Olay Listesi'!$J$2:$J$65,MATCH("INC5038",'Olay Listesi'!$A$2:$A$65,0))</f>
        <v>İhlal</v>
      </c>
      <c r="F54" s="16" t="n">
        <f aca="false">COUNTIF($C$5:$C$30,B54)</f>
        <v>2</v>
      </c>
      <c r="G54" s="16" t="n">
        <f aca="false">COUNTIFS($C$5:$C$30,B54,$F$5:$F$30,"Geri alındı")</f>
        <v>0</v>
      </c>
    </row>
    <row r="55" customFormat="false" ht="26.85" hidden="false" customHeight="false" outlineLevel="0" collapsed="false">
      <c r="A55" s="16" t="s">
        <v>142</v>
      </c>
      <c r="B55" s="16" t="str">
        <f aca="false">INDEX('Olay Listesi'!$C$2:$C$65,MATCH("INC5041",'Olay Listesi'!$A$2:$A$65,0))</f>
        <v>Mobil Uygulama</v>
      </c>
      <c r="C55" s="35" t="n">
        <f aca="false">INDEX('Olay Listesi'!$B$2:$B$65,MATCH("INC5041",'Olay Listesi'!$A$2:$A$65,0))</f>
        <v>46205</v>
      </c>
      <c r="D55" s="16" t="str">
        <f aca="false">INDEX('Olay Listesi'!$D$2:$D$65,MATCH("INC5041",'Olay Listesi'!$A$2:$A$65,0))</f>
        <v>P3</v>
      </c>
      <c r="E55" s="16" t="str">
        <f aca="false">INDEX('Olay Listesi'!$J$2:$J$65,MATCH("INC5041",'Olay Listesi'!$A$2:$A$65,0))</f>
        <v>İhlal</v>
      </c>
      <c r="F55" s="16" t="n">
        <f aca="false">COUNTIF($C$5:$C$30,B55)</f>
        <v>5</v>
      </c>
      <c r="G55" s="16" t="n">
        <f aca="false">COUNTIFS($C$5:$C$30,B55,$F$5:$F$30,"Geri alındı")</f>
        <v>0</v>
      </c>
    </row>
    <row r="56" customFormat="false" ht="26.85" hidden="false" customHeight="false" outlineLevel="0" collapsed="false">
      <c r="A56" s="16" t="s">
        <v>154</v>
      </c>
      <c r="B56" s="16" t="str">
        <f aca="false">INDEX('Olay Listesi'!$C$2:$C$65,MATCH("INC5047",'Olay Listesi'!$A$2:$A$65,0))</f>
        <v>API Geçidi</v>
      </c>
      <c r="C56" s="35" t="n">
        <f aca="false">INDEX('Olay Listesi'!$B$2:$B$65,MATCH("INC5047",'Olay Listesi'!$A$2:$A$65,0))</f>
        <v>46204</v>
      </c>
      <c r="D56" s="16" t="str">
        <f aca="false">INDEX('Olay Listesi'!$D$2:$D$65,MATCH("INC5047",'Olay Listesi'!$A$2:$A$65,0))</f>
        <v>P1</v>
      </c>
      <c r="E56" s="16" t="str">
        <f aca="false">INDEX('Olay Listesi'!$J$2:$J$65,MATCH("INC5047",'Olay Listesi'!$A$2:$A$65,0))</f>
        <v>İhlal</v>
      </c>
      <c r="F56" s="16" t="n">
        <f aca="false">COUNTIF($C$5:$C$30,B56)</f>
        <v>2</v>
      </c>
      <c r="G56" s="16" t="n">
        <f aca="false">COUNTIFS($C$5:$C$30,B56,$F$5:$F$30,"Geri alındı")</f>
        <v>0</v>
      </c>
    </row>
    <row r="57" customFormat="false" ht="26.85" hidden="false" customHeight="false" outlineLevel="0" collapsed="false">
      <c r="A57" s="16" t="s">
        <v>161</v>
      </c>
      <c r="B57" s="16" t="str">
        <f aca="false">INDEX('Olay Listesi'!$C$2:$C$65,MATCH("INC5051",'Olay Listesi'!$A$2:$A$65,0))</f>
        <v>API Geçidi</v>
      </c>
      <c r="C57" s="35" t="n">
        <f aca="false">INDEX('Olay Listesi'!$B$2:$B$65,MATCH("INC5051",'Olay Listesi'!$A$2:$A$65,0))</f>
        <v>46203</v>
      </c>
      <c r="D57" s="16" t="str">
        <f aca="false">INDEX('Olay Listesi'!$D$2:$D$65,MATCH("INC5051",'Olay Listesi'!$A$2:$A$65,0))</f>
        <v>P2</v>
      </c>
      <c r="E57" s="16" t="str">
        <f aca="false">INDEX('Olay Listesi'!$J$2:$J$65,MATCH("INC5051",'Olay Listesi'!$A$2:$A$65,0))</f>
        <v>İhlal</v>
      </c>
      <c r="F57" s="16" t="n">
        <f aca="false">COUNTIF($C$5:$C$30,B57)</f>
        <v>2</v>
      </c>
      <c r="G57" s="16" t="n">
        <f aca="false">COUNTIFS($C$5:$C$30,B57,$F$5:$F$30,"Geri alındı")</f>
        <v>0</v>
      </c>
    </row>
    <row r="58" customFormat="false" ht="26.85" hidden="false" customHeight="false" outlineLevel="0" collapsed="false">
      <c r="A58" s="16" t="s">
        <v>171</v>
      </c>
      <c r="B58" s="16" t="str">
        <f aca="false">INDEX('Olay Listesi'!$C$2:$C$65,MATCH("INC5056",'Olay Listesi'!$A$2:$A$65,0))</f>
        <v>İnternet Şubesi</v>
      </c>
      <c r="C58" s="35" t="n">
        <f aca="false">INDEX('Olay Listesi'!$B$2:$B$65,MATCH("INC5056",'Olay Listesi'!$A$2:$A$65,0))</f>
        <v>46207</v>
      </c>
      <c r="D58" s="16" t="str">
        <f aca="false">INDEX('Olay Listesi'!$D$2:$D$65,MATCH("INC5056",'Olay Listesi'!$A$2:$A$65,0))</f>
        <v>P4</v>
      </c>
      <c r="E58" s="16" t="str">
        <f aca="false">INDEX('Olay Listesi'!$J$2:$J$65,MATCH("INC5056",'Olay Listesi'!$A$2:$A$65,0))</f>
        <v>İhlal</v>
      </c>
      <c r="F58" s="16" t="n">
        <f aca="false">COUNTIF($C$5:$C$30,B58)</f>
        <v>1</v>
      </c>
      <c r="G58" s="16" t="n">
        <f aca="false">COUNTIFS($C$5:$C$30,B58,$F$5:$F$30,"Geri alındı")</f>
        <v>0</v>
      </c>
    </row>
    <row r="60" customFormat="false" ht="15" hidden="false" customHeight="false" outlineLevel="0" collapsed="false">
      <c r="A60" s="36" t="s">
        <v>261</v>
      </c>
      <c r="B60" s="36"/>
      <c r="C60" s="36"/>
      <c r="D60" s="36"/>
      <c r="E60" s="36"/>
      <c r="F60" s="36"/>
      <c r="G60" s="36"/>
    </row>
  </sheetData>
  <mergeCells count="6">
    <mergeCell ref="A1:K1"/>
    <mergeCell ref="A3:K3"/>
    <mergeCell ref="A33:K33"/>
    <mergeCell ref="A44:K44"/>
    <mergeCell ref="A49:K49"/>
    <mergeCell ref="A60:G60"/>
  </mergeCells>
  <conditionalFormatting sqref="F5:F30">
    <cfRule type="cellIs" priority="2" operator="equal" aboveAverage="0" equalAverage="0" bottom="0" percent="0" rank="0" text="" dxfId="42">
      <formula>"Geri alındı"</formula>
    </cfRule>
  </conditionalFormatting>
  <conditionalFormatting sqref="K5:K30">
    <cfRule type="expression" priority="3" aboveAverage="0" equalAverage="0" bottom="0" percent="0" rank="0" text="" dxfId="44">
      <formula>NOT(ISERROR(SEARCH("Farklı",K5)))</formula>
    </cfRule>
  </conditionalFormatting>
  <conditionalFormatting sqref="D35:D40">
    <cfRule type="cellIs" priority="4" operator="greaterThan" aboveAverage="0" equalAverage="0" bottom="0" percent="0" rank="0" text="" dxfId="42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9"/>
    <col collapsed="false" customWidth="true" hidden="false" outlineLevel="0" max="3" min="3" style="0" width="40"/>
    <col collapsed="false" customWidth="true" hidden="false" outlineLevel="0" max="4" min="4" style="0" width="22"/>
    <col collapsed="false" customWidth="true" hidden="false" outlineLevel="0" max="5" min="5" style="0" width="38"/>
    <col collapsed="false" customWidth="true" hidden="false" outlineLevel="0" max="7" min="6" style="0" width="30"/>
    <col collapsed="false" customWidth="true" hidden="false" outlineLevel="0" max="8" min="8" style="0" width="13"/>
    <col collapsed="false" customWidth="true" hidden="false" outlineLevel="0" max="9" min="9" style="0" width="14"/>
    <col collapsed="false" customWidth="true" hidden="false" outlineLevel="0" max="10" min="10" style="0" width="9"/>
  </cols>
  <sheetData>
    <row r="1" customFormat="false" ht="17.35" hidden="false" customHeight="false" outlineLevel="0" collapsed="false">
      <c r="A1" s="1" t="s">
        <v>262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3" t="s">
        <v>263</v>
      </c>
      <c r="B2" s="3"/>
      <c r="C2" s="3"/>
      <c r="D2" s="3"/>
      <c r="E2" s="3"/>
      <c r="F2" s="3"/>
      <c r="G2" s="3"/>
      <c r="H2" s="3"/>
      <c r="I2" s="3"/>
      <c r="J2" s="3"/>
    </row>
    <row r="4" customFormat="false" ht="15" hidden="false" customHeight="false" outlineLevel="0" collapsed="false">
      <c r="A4" s="14" t="s">
        <v>264</v>
      </c>
      <c r="B4" s="14" t="s">
        <v>21</v>
      </c>
      <c r="C4" s="14" t="s">
        <v>265</v>
      </c>
      <c r="D4" s="14" t="s">
        <v>266</v>
      </c>
      <c r="E4" s="14" t="s">
        <v>267</v>
      </c>
      <c r="F4" s="14" t="s">
        <v>268</v>
      </c>
      <c r="G4" s="14" t="s">
        <v>269</v>
      </c>
      <c r="H4" s="14" t="s">
        <v>270</v>
      </c>
      <c r="I4" s="14" t="s">
        <v>271</v>
      </c>
      <c r="J4" s="14" t="s">
        <v>272</v>
      </c>
    </row>
    <row r="5" customFormat="false" ht="57.75" hidden="false" customHeight="true" outlineLevel="0" collapsed="false">
      <c r="A5" s="37" t="n">
        <v>1</v>
      </c>
      <c r="B5" s="37" t="s">
        <v>221</v>
      </c>
      <c r="C5" s="38" t="s">
        <v>273</v>
      </c>
      <c r="D5" s="38" t="s">
        <v>274</v>
      </c>
      <c r="E5" s="38" t="s">
        <v>275</v>
      </c>
      <c r="F5" s="38" t="str">
        <f aca="false">TEXT(IFERROR(COUNTIFS('Olay Listesi'!$N$2:$N$65,"Sürüm/Dağıtım",'Olay Listesi'!$J$2:$J$65,"İhlal")/COUNTIF('Olay Listesi'!$N$2:$N$65,"Sürüm/Dağıtım"),0),"0.0%")&amp;" ihlal · "&amp;COUNTIF('Olay Listesi'!$N$2:$N$65,"Sürüm/Dağıtım")&amp;" olay"</f>
        <v>87.5% ihlal · 8 olay</v>
      </c>
      <c r="G5" s="38" t="s">
        <v>276</v>
      </c>
      <c r="H5" s="37" t="s">
        <v>277</v>
      </c>
      <c r="I5" s="37" t="s">
        <v>278</v>
      </c>
      <c r="J5" s="37" t="s">
        <v>279</v>
      </c>
    </row>
    <row r="6" customFormat="false" ht="57.75" hidden="false" customHeight="true" outlineLevel="0" collapsed="false">
      <c r="A6" s="37" t="n">
        <v>2</v>
      </c>
      <c r="B6" s="37" t="s">
        <v>221</v>
      </c>
      <c r="C6" s="38" t="s">
        <v>280</v>
      </c>
      <c r="D6" s="38" t="s">
        <v>37</v>
      </c>
      <c r="E6" s="38" t="s">
        <v>281</v>
      </c>
      <c r="F6" s="38" t="str">
        <f aca="false">COUNTIFS('Değişiklik İlişkisi'!$C$4:$C$29,"Bildirim Servisi",'Değişiklik İlişkisi'!$F$4:$F$29,"Geri alındı")&amp;"/"&amp;COUNTIF('Değişiklik İlişkisi'!$C$4:$C$29,"Bildirim Servisi")&amp;" değ. geri alındı · "&amp;COUNTIF('Olay Listesi'!$C$2:$C$65,"Bildirim Servisi")&amp;" olay"</f>
        <v>4/6 değ. geri alındı · 16 olay</v>
      </c>
      <c r="G6" s="38" t="s">
        <v>282</v>
      </c>
      <c r="H6" s="37" t="s">
        <v>277</v>
      </c>
      <c r="I6" s="37" t="s">
        <v>278</v>
      </c>
      <c r="J6" s="37" t="s">
        <v>279</v>
      </c>
    </row>
    <row r="7" customFormat="false" ht="57.75" hidden="false" customHeight="true" outlineLevel="0" collapsed="false">
      <c r="A7" s="37" t="n">
        <v>3</v>
      </c>
      <c r="B7" s="37" t="s">
        <v>221</v>
      </c>
      <c r="C7" s="38" t="s">
        <v>283</v>
      </c>
      <c r="D7" s="38" t="s">
        <v>284</v>
      </c>
      <c r="E7" s="38" t="s">
        <v>285</v>
      </c>
      <c r="F7" s="38" t="str">
        <f aca="false">TEXT(IFERROR(COUNTIFS('Olay Listesi'!$N$2:$N$65,"Konfigürasyon",'Olay Listesi'!$J$2:$J$65,"İhlal")/COUNTIF('Olay Listesi'!$N$2:$N$65,"Konfigürasyon"),0),"0.0%")&amp;" ihlal · "&amp;COUNTIF('Olay Listesi'!$N$2:$N$65,"Konfigürasyon")&amp;" olay"</f>
        <v>75.0% ihlal · 8 olay</v>
      </c>
      <c r="G7" s="38" t="s">
        <v>286</v>
      </c>
      <c r="H7" s="37" t="s">
        <v>277</v>
      </c>
      <c r="I7" s="37" t="s">
        <v>278</v>
      </c>
      <c r="J7" s="37" t="s">
        <v>279</v>
      </c>
    </row>
    <row r="8" customFormat="false" ht="57.75" hidden="false" customHeight="true" outlineLevel="0" collapsed="false">
      <c r="A8" s="37" t="n">
        <v>4</v>
      </c>
      <c r="B8" s="37" t="s">
        <v>225</v>
      </c>
      <c r="C8" s="38" t="s">
        <v>287</v>
      </c>
      <c r="D8" s="38" t="s">
        <v>288</v>
      </c>
      <c r="E8" s="38" t="s">
        <v>289</v>
      </c>
      <c r="F8" s="38" t="str">
        <f aca="false">ROUND(IFERROR(AVERAGEIF('Olay Listesi'!$D$2:$D$65,"P4",'Olay Listesi'!$F$2:$F$65),0),0)&amp;" dk P4 MTTR · Ödeme "&amp;ROUND(IFERROR(AVERAGEIF('Olay Listesi'!$C$2:$C$65,"Ödeme Servisi",'Olay Listesi'!$F$2:$F$65),0),0)&amp;" dk"</f>
        <v>1559 dk P4 MTTR · Ödeme 993 dk</v>
      </c>
      <c r="G8" s="38" t="s">
        <v>290</v>
      </c>
      <c r="H8" s="37" t="s">
        <v>277</v>
      </c>
      <c r="I8" s="37" t="s">
        <v>278</v>
      </c>
      <c r="J8" s="37" t="s">
        <v>279</v>
      </c>
    </row>
    <row r="9" customFormat="false" ht="57.75" hidden="false" customHeight="true" outlineLevel="0" collapsed="false">
      <c r="A9" s="37" t="n">
        <v>5</v>
      </c>
      <c r="B9" s="37" t="s">
        <v>225</v>
      </c>
      <c r="C9" s="38" t="s">
        <v>291</v>
      </c>
      <c r="D9" s="38" t="s">
        <v>292</v>
      </c>
      <c r="E9" s="38" t="s">
        <v>293</v>
      </c>
      <c r="F9" s="38" t="str">
        <f aca="false">COUNTIF('Olay Listesi'!$H$2:$H$65,"Veritabanı kilidi")&amp;" olay · "&amp;ROUND(IFERROR(AVERAGEIF('Olay Listesi'!$H$2:$H$65,"Veritabanı kilidi",'Olay Listesi'!$F$2:$F$65),0),0)&amp;" dk MTTR"</f>
        <v>13 olay · 488 dk MTTR</v>
      </c>
      <c r="G9" s="38" t="s">
        <v>294</v>
      </c>
      <c r="H9" s="37" t="s">
        <v>277</v>
      </c>
      <c r="I9" s="37" t="s">
        <v>278</v>
      </c>
      <c r="J9" s="37" t="s">
        <v>279</v>
      </c>
    </row>
    <row r="10" customFormat="false" ht="57.75" hidden="false" customHeight="true" outlineLevel="0" collapsed="false">
      <c r="A10" s="37" t="n">
        <v>6</v>
      </c>
      <c r="B10" s="37" t="s">
        <v>225</v>
      </c>
      <c r="C10" s="38" t="s">
        <v>295</v>
      </c>
      <c r="D10" s="38" t="s">
        <v>296</v>
      </c>
      <c r="E10" s="38" t="s">
        <v>297</v>
      </c>
      <c r="F10" s="38" t="str">
        <f aca="false">COUNTIF('Olay Listesi'!$H$2:$H$65,"Sertifika/kimlik doğrulama")&amp;" olay · "&amp;COUNTIFS('Olay Listesi'!$H$2:$H$65,"Sertifika/kimlik doğrulama",'Olay Listesi'!$I$2:$I$65,"Evet")&amp;" tekrar eden"</f>
        <v>10 olay · 3 tekrar eden</v>
      </c>
      <c r="G10" s="38" t="s">
        <v>298</v>
      </c>
      <c r="H10" s="37" t="s">
        <v>277</v>
      </c>
      <c r="I10" s="37" t="s">
        <v>278</v>
      </c>
      <c r="J10" s="37" t="s">
        <v>279</v>
      </c>
    </row>
    <row r="11" customFormat="false" ht="57.75" hidden="false" customHeight="true" outlineLevel="0" collapsed="false">
      <c r="A11" s="37" t="n">
        <v>7</v>
      </c>
      <c r="B11" s="37" t="s">
        <v>225</v>
      </c>
      <c r="C11" s="38" t="s">
        <v>299</v>
      </c>
      <c r="D11" s="38" t="s">
        <v>300</v>
      </c>
      <c r="E11" s="38" t="s">
        <v>301</v>
      </c>
      <c r="F11" s="38" t="str">
        <f aca="false">COUNTIF('Olay Listesi'!$H$2:$H$65,"Üçüncü taraf servis kesintisi")&amp;" olay · "&amp;COUNTIFS('Olay Listesi'!$H$2:$H$65,"Üçüncü taraf servis kesintisi",'Olay Listesi'!$I$2:$I$65,"Evet")&amp;" tekrar eden"</f>
        <v>9 olay · 3 tekrar eden</v>
      </c>
      <c r="G11" s="38" t="s">
        <v>302</v>
      </c>
      <c r="H11" s="37" t="s">
        <v>277</v>
      </c>
      <c r="I11" s="37" t="s">
        <v>278</v>
      </c>
      <c r="J11" s="37" t="s">
        <v>279</v>
      </c>
    </row>
    <row r="12" customFormat="false" ht="57.75" hidden="false" customHeight="true" outlineLevel="0" collapsed="false">
      <c r="A12" s="37" t="n">
        <v>8</v>
      </c>
      <c r="B12" s="37" t="s">
        <v>225</v>
      </c>
      <c r="C12" s="38" t="s">
        <v>303</v>
      </c>
      <c r="D12" s="38" t="s">
        <v>304</v>
      </c>
      <c r="E12" s="38" t="s">
        <v>305</v>
      </c>
      <c r="F12" s="38" t="str">
        <f aca="false">COUNTIF('Olay Listesi'!$N$2:$N$65,"Kapasite")&amp;" olay · "&amp;ROUND(IFERROR(AVERAGEIF('Olay Listesi'!$N$2:$N$65,"Kapasite",'Olay Listesi'!$F$2:$F$65),0),0)&amp;" dk MTTR"</f>
        <v>9 olay · 576 dk MTTR</v>
      </c>
      <c r="G12" s="38" t="s">
        <v>306</v>
      </c>
      <c r="H12" s="37" t="s">
        <v>277</v>
      </c>
      <c r="I12" s="37" t="s">
        <v>278</v>
      </c>
      <c r="J12" s="37" t="s">
        <v>279</v>
      </c>
    </row>
  </sheetData>
  <mergeCells count="2">
    <mergeCell ref="A1:J1"/>
    <mergeCell ref="A2:J2"/>
  </mergeCells>
  <conditionalFormatting sqref="B5:B12">
    <cfRule type="cellIs" priority="2" operator="equal" aboveAverage="0" equalAverage="0" bottom="0" percent="0" rank="0" text="" dxfId="42">
      <formula>"Yüksek"</formula>
    </cfRule>
    <cfRule type="cellIs" priority="3" operator="equal" aboveAverage="0" equalAverage="0" bottom="0" percent="0" rank="0" text="" dxfId="44">
      <formula>"Orta"</formula>
    </cfRule>
  </conditionalFormatting>
  <conditionalFormatting sqref="J5:J12">
    <cfRule type="cellIs" priority="4" operator="equal" aboveAverage="0" equalAverage="0" bottom="0" percent="0" rank="0" text="" dxfId="49">
      <formula>"Açık"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LibreOffice/25.8.4.2$Linux_X86_64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2026-07-10T16:45:05Z</dcterms:created>
  <dc:creator>openpyxl</dc:creator>
  <dc:description/>
  <dc:language>en-US</dc:language>
  <cp:lastModifiedBy/>
  <dcterms:modified xsi:type="dcterms:W3CDTF">2026-07-10T16:45:06Z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